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1000S\"/>
    </mc:Choice>
  </mc:AlternateContent>
  <xr:revisionPtr revIDLastSave="0" documentId="13_ncr:1_{74898C69-F47B-4FA1-9FDA-D9A37F1CA622}" xr6:coauthVersionLast="47" xr6:coauthVersionMax="47" xr10:uidLastSave="{00000000-0000-0000-0000-000000000000}"/>
  <bookViews>
    <workbookView xWindow="38280" yWindow="-120" windowWidth="38640" windowHeight="21240" activeTab="7" xr2:uid="{00000000-000D-0000-FFFF-FFFF00000000}"/>
  </bookViews>
  <sheets>
    <sheet name="P01, 0411, P59" sheetId="1" r:id="rId1"/>
    <sheet name="E40" sheetId="2" r:id="rId2"/>
    <sheet name="P04" sheetId="3" r:id="rId3"/>
    <sheet name="P05" sheetId="4" r:id="rId4"/>
    <sheet name="P12" sheetId="5" r:id="rId5"/>
    <sheet name="E37, E38 (&lt;2009)" sheetId="6" r:id="rId6"/>
    <sheet name="E38 (2009+), E67, E78" sheetId="7" r:id="rId7"/>
    <sheet name="Generi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2" i="8" l="1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E57" i="8"/>
  <c r="C57" i="8"/>
  <c r="E56" i="8"/>
  <c r="C56" i="8"/>
  <c r="E55" i="8"/>
  <c r="C55" i="8"/>
  <c r="E54" i="8"/>
  <c r="C54" i="8"/>
  <c r="E53" i="8"/>
  <c r="C53" i="8"/>
  <c r="E52" i="8"/>
  <c r="C52" i="8"/>
  <c r="E51" i="8"/>
  <c r="C51" i="8"/>
  <c r="E50" i="8"/>
  <c r="C50" i="8"/>
  <c r="E49" i="8"/>
  <c r="C49" i="8"/>
  <c r="E48" i="8"/>
  <c r="C48" i="8"/>
  <c r="E47" i="8"/>
  <c r="C47" i="8"/>
  <c r="E46" i="8"/>
  <c r="C46" i="8"/>
  <c r="E45" i="8"/>
  <c r="C45" i="8"/>
  <c r="E44" i="8"/>
  <c r="C44" i="8"/>
  <c r="E43" i="8"/>
  <c r="C43" i="8"/>
  <c r="E42" i="8"/>
  <c r="C42" i="8"/>
  <c r="E41" i="8"/>
  <c r="C41" i="8"/>
  <c r="R78" i="7"/>
  <c r="Q78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C78" i="7"/>
  <c r="B78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C77" i="7"/>
  <c r="B77" i="7"/>
  <c r="E73" i="7"/>
  <c r="C73" i="7"/>
  <c r="E72" i="7"/>
  <c r="C72" i="7"/>
  <c r="E71" i="7"/>
  <c r="C71" i="7"/>
  <c r="E70" i="7"/>
  <c r="C70" i="7"/>
  <c r="E69" i="7"/>
  <c r="C69" i="7"/>
  <c r="E68" i="7"/>
  <c r="C68" i="7"/>
  <c r="E67" i="7"/>
  <c r="C67" i="7"/>
  <c r="E66" i="7"/>
  <c r="C66" i="7"/>
  <c r="E65" i="7"/>
  <c r="C65" i="7"/>
  <c r="E64" i="7"/>
  <c r="C64" i="7"/>
  <c r="E63" i="7"/>
  <c r="C63" i="7"/>
  <c r="E62" i="7"/>
  <c r="C62" i="7"/>
  <c r="E61" i="7"/>
  <c r="C61" i="7"/>
  <c r="E60" i="7"/>
  <c r="C60" i="7"/>
  <c r="E59" i="7"/>
  <c r="C59" i="7"/>
  <c r="E58" i="7"/>
  <c r="C58" i="7"/>
  <c r="E57" i="7"/>
  <c r="C57" i="7"/>
  <c r="E56" i="7"/>
  <c r="C56" i="7"/>
  <c r="E55" i="7"/>
  <c r="C55" i="7"/>
  <c r="E54" i="7"/>
  <c r="C54" i="7"/>
  <c r="E53" i="7"/>
  <c r="C53" i="7"/>
  <c r="E52" i="7"/>
  <c r="C52" i="7"/>
  <c r="E51" i="7"/>
  <c r="C51" i="7"/>
  <c r="E50" i="7"/>
  <c r="C50" i="7"/>
  <c r="E49" i="7"/>
  <c r="C49" i="7"/>
  <c r="E48" i="7"/>
  <c r="C48" i="7"/>
  <c r="E47" i="7"/>
  <c r="C47" i="7"/>
  <c r="E46" i="7"/>
  <c r="C46" i="7"/>
  <c r="E45" i="7"/>
  <c r="C45" i="7"/>
  <c r="E44" i="7"/>
  <c r="C44" i="7"/>
  <c r="E43" i="7"/>
  <c r="C43" i="7"/>
  <c r="E42" i="7"/>
  <c r="C42" i="7"/>
  <c r="E41" i="7"/>
  <c r="C41" i="7"/>
  <c r="R78" i="6"/>
  <c r="Q78" i="6"/>
  <c r="P78" i="6"/>
  <c r="O78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R77" i="6"/>
  <c r="Q77" i="6"/>
  <c r="P77" i="6"/>
  <c r="O77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E73" i="6"/>
  <c r="C73" i="6"/>
  <c r="E72" i="6"/>
  <c r="C72" i="6"/>
  <c r="E71" i="6"/>
  <c r="C71" i="6"/>
  <c r="E70" i="6"/>
  <c r="C70" i="6"/>
  <c r="E69" i="6"/>
  <c r="C69" i="6"/>
  <c r="E68" i="6"/>
  <c r="C68" i="6"/>
  <c r="E67" i="6"/>
  <c r="C67" i="6"/>
  <c r="E66" i="6"/>
  <c r="C66" i="6"/>
  <c r="E65" i="6"/>
  <c r="C65" i="6"/>
  <c r="E64" i="6"/>
  <c r="C64" i="6"/>
  <c r="E63" i="6"/>
  <c r="C63" i="6"/>
  <c r="E62" i="6"/>
  <c r="C62" i="6"/>
  <c r="E61" i="6"/>
  <c r="C61" i="6"/>
  <c r="E60" i="6"/>
  <c r="C60" i="6"/>
  <c r="E59" i="6"/>
  <c r="C59" i="6"/>
  <c r="E58" i="6"/>
  <c r="C58" i="6"/>
  <c r="E57" i="6"/>
  <c r="C57" i="6"/>
  <c r="E56" i="6"/>
  <c r="C56" i="6"/>
  <c r="E55" i="6"/>
  <c r="C55" i="6"/>
  <c r="E54" i="6"/>
  <c r="C54" i="6"/>
  <c r="E53" i="6"/>
  <c r="C53" i="6"/>
  <c r="E52" i="6"/>
  <c r="C52" i="6"/>
  <c r="E51" i="6"/>
  <c r="C51" i="6"/>
  <c r="E50" i="6"/>
  <c r="C50" i="6"/>
  <c r="E49" i="6"/>
  <c r="C49" i="6"/>
  <c r="E48" i="6"/>
  <c r="C48" i="6"/>
  <c r="E47" i="6"/>
  <c r="C47" i="6"/>
  <c r="E46" i="6"/>
  <c r="C46" i="6"/>
  <c r="E45" i="6"/>
  <c r="C45" i="6"/>
  <c r="E44" i="6"/>
  <c r="C44" i="6"/>
  <c r="E43" i="6"/>
  <c r="C43" i="6"/>
  <c r="E42" i="6"/>
  <c r="C42" i="6"/>
  <c r="E41" i="6"/>
  <c r="C41" i="6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B77" i="5"/>
  <c r="E73" i="5"/>
  <c r="C73" i="5"/>
  <c r="E72" i="5"/>
  <c r="C72" i="5"/>
  <c r="E71" i="5"/>
  <c r="C71" i="5"/>
  <c r="E70" i="5"/>
  <c r="C70" i="5"/>
  <c r="E69" i="5"/>
  <c r="C69" i="5"/>
  <c r="E68" i="5"/>
  <c r="C68" i="5"/>
  <c r="E67" i="5"/>
  <c r="C67" i="5"/>
  <c r="E66" i="5"/>
  <c r="C66" i="5"/>
  <c r="E65" i="5"/>
  <c r="C65" i="5"/>
  <c r="E64" i="5"/>
  <c r="C64" i="5"/>
  <c r="E63" i="5"/>
  <c r="C63" i="5"/>
  <c r="E62" i="5"/>
  <c r="C62" i="5"/>
  <c r="E61" i="5"/>
  <c r="C61" i="5"/>
  <c r="E60" i="5"/>
  <c r="C60" i="5"/>
  <c r="E59" i="5"/>
  <c r="C59" i="5"/>
  <c r="E58" i="5"/>
  <c r="C58" i="5"/>
  <c r="E57" i="5"/>
  <c r="C57" i="5"/>
  <c r="E56" i="5"/>
  <c r="C56" i="5"/>
  <c r="E55" i="5"/>
  <c r="C55" i="5"/>
  <c r="E54" i="5"/>
  <c r="C54" i="5"/>
  <c r="E53" i="5"/>
  <c r="C53" i="5"/>
  <c r="E52" i="5"/>
  <c r="C52" i="5"/>
  <c r="E51" i="5"/>
  <c r="C51" i="5"/>
  <c r="E50" i="5"/>
  <c r="C50" i="5"/>
  <c r="E49" i="5"/>
  <c r="C49" i="5"/>
  <c r="E48" i="5"/>
  <c r="C48" i="5"/>
  <c r="E47" i="5"/>
  <c r="C47" i="5"/>
  <c r="E46" i="5"/>
  <c r="C46" i="5"/>
  <c r="E45" i="5"/>
  <c r="C45" i="5"/>
  <c r="E44" i="5"/>
  <c r="C44" i="5"/>
  <c r="E43" i="5"/>
  <c r="C43" i="5"/>
  <c r="E42" i="5"/>
  <c r="C42" i="5"/>
  <c r="E41" i="5"/>
  <c r="C41" i="5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E56" i="4"/>
  <c r="C56" i="4"/>
  <c r="E55" i="4"/>
  <c r="C55" i="4"/>
  <c r="E54" i="4"/>
  <c r="C54" i="4"/>
  <c r="E53" i="4"/>
  <c r="C53" i="4"/>
  <c r="E52" i="4"/>
  <c r="C52" i="4"/>
  <c r="E51" i="4"/>
  <c r="C51" i="4"/>
  <c r="E50" i="4"/>
  <c r="C50" i="4"/>
  <c r="E49" i="4"/>
  <c r="C49" i="4"/>
  <c r="E48" i="4"/>
  <c r="C48" i="4"/>
  <c r="E47" i="4"/>
  <c r="C47" i="4"/>
  <c r="E46" i="4"/>
  <c r="C46" i="4"/>
  <c r="E45" i="4"/>
  <c r="C45" i="4"/>
  <c r="E44" i="4"/>
  <c r="C44" i="4"/>
  <c r="E43" i="4"/>
  <c r="C43" i="4"/>
  <c r="E42" i="4"/>
  <c r="C42" i="4"/>
  <c r="E41" i="4"/>
  <c r="C41" i="4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R62" i="2"/>
  <c r="Q62" i="2"/>
  <c r="P62" i="2"/>
  <c r="O62" i="2"/>
  <c r="N62" i="2"/>
  <c r="M62" i="2"/>
  <c r="L62" i="2"/>
  <c r="K62" i="2"/>
  <c r="J62" i="2"/>
  <c r="I62" i="2"/>
  <c r="H62" i="2"/>
  <c r="G62" i="2"/>
  <c r="F62" i="2"/>
  <c r="E62" i="2"/>
  <c r="D62" i="2"/>
  <c r="C62" i="2"/>
  <c r="B62" i="2"/>
  <c r="R61" i="2"/>
  <c r="Q61" i="2"/>
  <c r="P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E57" i="2"/>
  <c r="C57" i="2"/>
  <c r="E56" i="2"/>
  <c r="C56" i="2"/>
  <c r="E55" i="2"/>
  <c r="C55" i="2"/>
  <c r="E54" i="2"/>
  <c r="C54" i="2"/>
  <c r="E53" i="2"/>
  <c r="C53" i="2"/>
  <c r="E52" i="2"/>
  <c r="C52" i="2"/>
  <c r="E51" i="2"/>
  <c r="C51" i="2"/>
  <c r="E50" i="2"/>
  <c r="C50" i="2"/>
  <c r="E49" i="2"/>
  <c r="C49" i="2"/>
  <c r="E48" i="2"/>
  <c r="C48" i="2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C41" i="2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57" i="1"/>
  <c r="C57" i="1"/>
  <c r="E56" i="1"/>
  <c r="C56" i="1"/>
  <c r="E55" i="1"/>
  <c r="C55" i="1"/>
  <c r="E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</calcChain>
</file>

<file path=xl/sharedStrings.xml><?xml version="1.0" encoding="utf-8"?>
<sst xmlns="http://schemas.openxmlformats.org/spreadsheetml/2006/main" count="294" uniqueCount="44">
  <si>
    <t>P01, 0411, P59</t>
  </si>
  <si>
    <t>Injector Type:</t>
  </si>
  <si>
    <t>Matched Set:</t>
  </si>
  <si>
    <t>None selected</t>
  </si>
  <si>
    <t>Report Date:</t>
  </si>
  <si>
    <t>18/05/2022</t>
  </si>
  <si>
    <t>Reference Pressure (gauge):</t>
  </si>
  <si>
    <t>kPa</t>
  </si>
  <si>
    <t>Reference Voltage (gauge):</t>
  </si>
  <si>
    <t>V</t>
  </si>
  <si>
    <t>Minimum Pulse Width:</t>
  </si>
  <si>
    <t>ms</t>
  </si>
  <si>
    <t>Static Flow</t>
  </si>
  <si>
    <t>Scaling</t>
  </si>
  <si>
    <t>%</t>
  </si>
  <si>
    <t>Edit to update</t>
  </si>
  <si>
    <t>Stoich (Petrol)</t>
  </si>
  <si>
    <t>Stoich (Ethanol)</t>
  </si>
  <si>
    <t>Manifold Vacuum [kPa]</t>
  </si>
  <si>
    <t>Flow [lb/h]</t>
  </si>
  <si>
    <t>Flow (Scaled) [lb/h]</t>
  </si>
  <si>
    <t>Flow [g/s]</t>
  </si>
  <si>
    <t>Flow (Scaled) [g/s]</t>
  </si>
  <si>
    <t>Air Fuel Ratio</t>
  </si>
  <si>
    <t>Ethonol Percentage [%]</t>
  </si>
  <si>
    <t>Stoich</t>
  </si>
  <si>
    <t>Stoich  (Scaled)</t>
  </si>
  <si>
    <t>Battery Offsets</t>
  </si>
  <si>
    <t>Table data (Offset) [ms]</t>
  </si>
  <si>
    <t>Battery Voltage [V]</t>
  </si>
  <si>
    <t>Short Pulse Adder</t>
  </si>
  <si>
    <t>Short Pulse Limit:</t>
  </si>
  <si>
    <t>Effective Pulse Width [ms]</t>
  </si>
  <si>
    <t>Adder [ms]</t>
  </si>
  <si>
    <t>E40</t>
  </si>
  <si>
    <t>P04</t>
  </si>
  <si>
    <t>P05</t>
  </si>
  <si>
    <t>P12</t>
  </si>
  <si>
    <t>E37, E38 (&lt;2009)</t>
  </si>
  <si>
    <t>Differential Pressure [kPa]</t>
  </si>
  <si>
    <t>E38 (2009+), E67, E78</t>
  </si>
  <si>
    <t>Generic</t>
  </si>
  <si>
    <t>Pressures</t>
  </si>
  <si>
    <t>HP1000S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</si>
</sst>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###"/>
    <numFmt numFmtId="166" formatCode="0.0"/>
    <numFmt numFmtId="167" formatCode="0.0000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65" fontId="2" fillId="4" borderId="9" xfId="0" applyNumberFormat="1" applyFont="1" applyFill="1" applyBorder="1"/>
    <xf numFmtId="1" fontId="2" fillId="2" borderId="10" xfId="0" applyNumberFormat="1" applyFont="1" applyFill="1" applyBorder="1" applyAlignment="1">
      <alignment wrapText="1"/>
    </xf>
    <xf numFmtId="1" fontId="2" fillId="2" borderId="11" xfId="0" applyNumberFormat="1" applyFont="1" applyFill="1" applyBorder="1" applyAlignment="1">
      <alignment wrapText="1"/>
    </xf>
    <xf numFmtId="1" fontId="2" fillId="2" borderId="12" xfId="0" applyNumberFormat="1" applyFont="1" applyFill="1" applyBorder="1" applyAlignment="1">
      <alignment wrapText="1"/>
    </xf>
    <xf numFmtId="2" fontId="2" fillId="2" borderId="10" xfId="0" applyNumberFormat="1" applyFont="1" applyFill="1" applyBorder="1" applyAlignment="1">
      <alignment wrapText="1"/>
    </xf>
    <xf numFmtId="2" fontId="2" fillId="2" borderId="11" xfId="0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>
      <alignment wrapText="1"/>
    </xf>
    <xf numFmtId="166" fontId="2" fillId="2" borderId="1" xfId="0" applyNumberFormat="1" applyFont="1" applyFill="1" applyBorder="1"/>
    <xf numFmtId="166" fontId="2" fillId="2" borderId="2" xfId="0" applyNumberFormat="1" applyFont="1" applyFill="1" applyBorder="1"/>
    <xf numFmtId="166" fontId="2" fillId="2" borderId="3" xfId="0" applyNumberFormat="1" applyFont="1" applyFill="1" applyBorder="1"/>
    <xf numFmtId="166" fontId="2" fillId="2" borderId="13" xfId="0" applyNumberFormat="1" applyFont="1" applyFill="1" applyBorder="1"/>
    <xf numFmtId="166" fontId="2" fillId="2" borderId="14" xfId="0" applyNumberFormat="1" applyFont="1" applyFill="1" applyBorder="1"/>
    <xf numFmtId="166" fontId="2" fillId="2" borderId="15" xfId="0" applyNumberFormat="1" applyFont="1" applyFill="1" applyBorder="1"/>
    <xf numFmtId="166" fontId="2" fillId="2" borderId="4" xfId="0" applyNumberFormat="1" applyFont="1" applyFill="1" applyBorder="1"/>
    <xf numFmtId="167" fontId="0" fillId="3" borderId="0" xfId="0" applyNumberFormat="1" applyFill="1"/>
    <xf numFmtId="167" fontId="0" fillId="3" borderId="5" xfId="0" applyNumberFormat="1" applyFill="1" applyBorder="1"/>
    <xf numFmtId="166" fontId="2" fillId="2" borderId="6" xfId="0" applyNumberFormat="1" applyFont="1" applyFill="1" applyBorder="1"/>
    <xf numFmtId="167" fontId="0" fillId="3" borderId="7" xfId="0" applyNumberFormat="1" applyFill="1" applyBorder="1"/>
    <xf numFmtId="167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620ACF-B4ED-4BEF-B5C5-F41A3D4F9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498ACF-2977-4A66-9B13-1B16E2F3D2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8E1D41-1D6A-44A4-A0AA-A08C7C56A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E20003-CE8B-4FB0-8A66-C5E857E554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A87DD9C-7D39-4A67-ACE6-523955CB9C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3AAA37-27B3-409E-A202-79B25B950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C0E2B0-935E-4EDF-9F0B-8061867D1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A620550-0C8C-41F7-941E-93D1ADB0B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C160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0.12999999999999989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0</v>
      </c>
      <c r="B41" s="6">
        <v>111.43318224307311</v>
      </c>
      <c r="C41" s="6">
        <f>111.433182243073 * $B$36 / 100</f>
        <v>111.43318224307301</v>
      </c>
      <c r="D41" s="6">
        <v>14.040333333333329</v>
      </c>
      <c r="E41" s="7">
        <f>14.0403333333333 * $B$36 / 100</f>
        <v>14.040333333333299</v>
      </c>
    </row>
    <row r="42" spans="1:5" x14ac:dyDescent="0.25">
      <c r="A42" s="5">
        <v>5</v>
      </c>
      <c r="B42" s="6">
        <v>112.0956013333568</v>
      </c>
      <c r="C42" s="6">
        <f>112.095601333356 * $B$36 / 100</f>
        <v>112.095601333356</v>
      </c>
      <c r="D42" s="6">
        <v>14.12379666666666</v>
      </c>
      <c r="E42" s="7">
        <f>14.1237966666666 * $B$36 / 100</f>
        <v>14.1237966666666</v>
      </c>
    </row>
    <row r="43" spans="1:5" x14ac:dyDescent="0.25">
      <c r="A43" s="5">
        <v>10</v>
      </c>
      <c r="B43" s="6">
        <v>112.7580204236406</v>
      </c>
      <c r="C43" s="6">
        <f>112.75802042364 * $B$36 / 100</f>
        <v>112.75802042364</v>
      </c>
      <c r="D43" s="6">
        <v>14.20726</v>
      </c>
      <c r="E43" s="7">
        <f>14.2072599999999 * $B$36 / 100</f>
        <v>14.2072599999999</v>
      </c>
    </row>
    <row r="44" spans="1:5" x14ac:dyDescent="0.25">
      <c r="A44" s="5">
        <v>15</v>
      </c>
      <c r="B44" s="6">
        <v>113.42043951392441</v>
      </c>
      <c r="C44" s="6">
        <f>113.420439513924 * $B$36 / 100</f>
        <v>113.42043951392399</v>
      </c>
      <c r="D44" s="6">
        <v>14.290723333333331</v>
      </c>
      <c r="E44" s="7">
        <f>14.2907233333333 * $B$36 / 100</f>
        <v>14.2907233333333</v>
      </c>
    </row>
    <row r="45" spans="1:5" x14ac:dyDescent="0.25">
      <c r="A45" s="5">
        <v>20</v>
      </c>
      <c r="B45" s="6">
        <v>114.0828586042082</v>
      </c>
      <c r="C45" s="6">
        <f>114.082858604208 * $B$36 / 100</f>
        <v>114.082858604208</v>
      </c>
      <c r="D45" s="6">
        <v>14.37418666666667</v>
      </c>
      <c r="E45" s="7">
        <f>14.3741866666666 * $B$36 / 100</f>
        <v>14.374186666666599</v>
      </c>
    </row>
    <row r="46" spans="1:5" x14ac:dyDescent="0.25">
      <c r="A46" s="5">
        <v>25</v>
      </c>
      <c r="B46" s="6">
        <v>114.745277694492</v>
      </c>
      <c r="C46" s="6">
        <f>114.745277694491 * $B$36 / 100</f>
        <v>114.74527769449099</v>
      </c>
      <c r="D46" s="6">
        <v>14.457649999999999</v>
      </c>
      <c r="E46" s="7">
        <f>14.4576499999999 * $B$36 / 100</f>
        <v>14.457649999999898</v>
      </c>
    </row>
    <row r="47" spans="1:5" x14ac:dyDescent="0.25">
      <c r="A47" s="5">
        <v>30</v>
      </c>
      <c r="B47" s="6">
        <v>115.40769678477569</v>
      </c>
      <c r="C47" s="6">
        <f>115.407696784775 * $B$36 / 100</f>
        <v>115.407696784775</v>
      </c>
      <c r="D47" s="6">
        <v>14.54111333333333</v>
      </c>
      <c r="E47" s="7">
        <f>14.5411133333333 * $B$36 / 100</f>
        <v>14.541113333333302</v>
      </c>
    </row>
    <row r="48" spans="1:5" x14ac:dyDescent="0.25">
      <c r="A48" s="5">
        <v>35</v>
      </c>
      <c r="B48" s="6">
        <v>116.0701158750595</v>
      </c>
      <c r="C48" s="6">
        <f>116.070115875059 * $B$36 / 100</f>
        <v>116.070115875059</v>
      </c>
      <c r="D48" s="6">
        <v>14.62457666666667</v>
      </c>
      <c r="E48" s="7">
        <f>14.6245766666666 * $B$36 / 100</f>
        <v>14.6245766666666</v>
      </c>
    </row>
    <row r="49" spans="1:18" x14ac:dyDescent="0.25">
      <c r="A49" s="5">
        <v>40</v>
      </c>
      <c r="B49" s="6">
        <v>116.73253496534331</v>
      </c>
      <c r="C49" s="6">
        <f>116.732534965343 * $B$36 / 100</f>
        <v>116.73253496534301</v>
      </c>
      <c r="D49" s="6">
        <v>14.70804</v>
      </c>
      <c r="E49" s="7">
        <f>14.7080399999999 * $B$36 / 100</f>
        <v>14.708039999999899</v>
      </c>
    </row>
    <row r="50" spans="1:18" x14ac:dyDescent="0.25">
      <c r="A50" s="5">
        <v>45</v>
      </c>
      <c r="B50" s="6">
        <v>117.3949540556271</v>
      </c>
      <c r="C50" s="6">
        <f>117.394954055627 * $B$36 / 100</f>
        <v>117.39495405562701</v>
      </c>
      <c r="D50" s="6">
        <v>14.791503333333329</v>
      </c>
      <c r="E50" s="7">
        <f>14.7915033333333 * $B$36 / 100</f>
        <v>14.791503333333299</v>
      </c>
    </row>
    <row r="51" spans="1:18" x14ac:dyDescent="0.25">
      <c r="A51" s="5">
        <v>50</v>
      </c>
      <c r="B51" s="6">
        <v>118.0573731459109</v>
      </c>
      <c r="C51" s="6">
        <f>118.05737314591 * $B$36 / 100</f>
        <v>118.05737314591001</v>
      </c>
      <c r="D51" s="6">
        <v>14.874966666666669</v>
      </c>
      <c r="E51" s="7">
        <f>14.8749666666666 * $B$36 / 100</f>
        <v>14.874966666666602</v>
      </c>
    </row>
    <row r="52" spans="1:18" x14ac:dyDescent="0.25">
      <c r="A52" s="5">
        <v>55</v>
      </c>
      <c r="B52" s="6">
        <v>118.71979223619461</v>
      </c>
      <c r="C52" s="6">
        <f>118.719792236194 * $B$36 / 100</f>
        <v>118.719792236194</v>
      </c>
      <c r="D52" s="6">
        <v>14.95843</v>
      </c>
      <c r="E52" s="7">
        <f>14.95843 * $B$36 / 100</f>
        <v>14.95843</v>
      </c>
    </row>
    <row r="53" spans="1:18" x14ac:dyDescent="0.25">
      <c r="A53" s="5">
        <v>60</v>
      </c>
      <c r="B53" s="6">
        <v>119.3822113264784</v>
      </c>
      <c r="C53" s="6">
        <f>119.382211326478 * $B$36 / 100</f>
        <v>119.38221132647799</v>
      </c>
      <c r="D53" s="6">
        <v>15.041893333333331</v>
      </c>
      <c r="E53" s="7">
        <f>15.0418933333333 * $B$36 / 100</f>
        <v>15.0418933333333</v>
      </c>
    </row>
    <row r="54" spans="1:18" x14ac:dyDescent="0.25">
      <c r="A54" s="5">
        <v>65</v>
      </c>
      <c r="B54" s="6">
        <v>120.0446304167622</v>
      </c>
      <c r="C54" s="6">
        <f>120.044630416762 * $B$36 / 100</f>
        <v>120.044630416762</v>
      </c>
      <c r="D54" s="6">
        <v>15.12535666666667</v>
      </c>
      <c r="E54" s="7">
        <f>15.1253566666666 * $B$36 / 100</f>
        <v>15.125356666666598</v>
      </c>
    </row>
    <row r="55" spans="1:18" x14ac:dyDescent="0.25">
      <c r="A55" s="5">
        <v>70</v>
      </c>
      <c r="B55" s="6">
        <v>120.70704950704599</v>
      </c>
      <c r="C55" s="6">
        <f>120.707049507045 * $B$36 / 100</f>
        <v>120.707049507045</v>
      </c>
      <c r="D55" s="6">
        <v>15.208819999999999</v>
      </c>
      <c r="E55" s="7">
        <f>15.20882 * $B$36 / 100</f>
        <v>15.208819999999998</v>
      </c>
    </row>
    <row r="56" spans="1:18" x14ac:dyDescent="0.25">
      <c r="A56" s="5">
        <v>75</v>
      </c>
      <c r="B56" s="6">
        <v>121.3694685973298</v>
      </c>
      <c r="C56" s="6">
        <f>121.369468597329 * $B$36 / 100</f>
        <v>121.36946859732899</v>
      </c>
      <c r="D56" s="6">
        <v>15.29228333333333</v>
      </c>
      <c r="E56" s="7">
        <f>15.2922833333333 * $B$36 / 100</f>
        <v>15.2922833333333</v>
      </c>
    </row>
    <row r="57" spans="1:18" x14ac:dyDescent="0.25">
      <c r="A57" s="8">
        <v>80</v>
      </c>
      <c r="B57" s="9">
        <v>122.03188768761351</v>
      </c>
      <c r="C57" s="9">
        <f>122.031887687613 * $B$36 / 100</f>
        <v>122.03188768761299</v>
      </c>
      <c r="D57" s="9">
        <v>15.375746666666659</v>
      </c>
      <c r="E57" s="10">
        <f>15.3757466666666 * $B$36 / 100</f>
        <v>15.375746666666601</v>
      </c>
    </row>
    <row r="59" spans="1:18" ht="28.9" customHeight="1" x14ac:dyDescent="0.5">
      <c r="A59" s="1" t="s">
        <v>23</v>
      </c>
      <c r="B59" s="1"/>
    </row>
    <row r="60" spans="1:18" x14ac:dyDescent="0.25">
      <c r="A60" s="21" t="s">
        <v>24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25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26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27</v>
      </c>
      <c r="B64" s="1"/>
    </row>
    <row r="65" spans="1:29" x14ac:dyDescent="0.25">
      <c r="A65" s="24" t="s">
        <v>28</v>
      </c>
      <c r="B65" s="25" t="s">
        <v>29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6"/>
    </row>
    <row r="66" spans="1:29" x14ac:dyDescent="0.25">
      <c r="A66" s="27" t="s">
        <v>18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9">
        <v>18</v>
      </c>
    </row>
    <row r="67" spans="1:29" x14ac:dyDescent="0.25">
      <c r="A67" s="30">
        <v>0</v>
      </c>
      <c r="B67" s="31">
        <v>6.5770653129488297</v>
      </c>
      <c r="C67" s="31">
        <v>5.8348074728163457</v>
      </c>
      <c r="D67" s="31">
        <v>5.173008165559307</v>
      </c>
      <c r="E67" s="31">
        <v>4.585372536488677</v>
      </c>
      <c r="F67" s="31">
        <v>4.0658621791321972</v>
      </c>
      <c r="G67" s="31">
        <v>3.6086951352344121</v>
      </c>
      <c r="H67" s="31">
        <v>3.2083458947566461</v>
      </c>
      <c r="I67" s="31">
        <v>2.8595453958770181</v>
      </c>
      <c r="J67" s="31">
        <v>2.5572810249904361</v>
      </c>
      <c r="K67" s="31">
        <v>2.2967966167085918</v>
      </c>
      <c r="L67" s="31">
        <v>2.073592453859975</v>
      </c>
      <c r="M67" s="31">
        <v>1.8834252674898599</v>
      </c>
      <c r="N67" s="31">
        <v>1.722308236860324</v>
      </c>
      <c r="O67" s="31">
        <v>1.5865109894502101</v>
      </c>
      <c r="P67" s="31">
        <v>1.472559600955164</v>
      </c>
      <c r="Q67" s="31">
        <v>1.37723659528763</v>
      </c>
      <c r="R67" s="31">
        <v>1.2975809445768249</v>
      </c>
      <c r="S67" s="31">
        <v>1.230888069168766</v>
      </c>
      <c r="T67" s="31">
        <v>1.174709837626265</v>
      </c>
      <c r="U67" s="31">
        <v>1.1268545667289069</v>
      </c>
      <c r="V67" s="31">
        <v>1.085387021473075</v>
      </c>
      <c r="W67" s="31">
        <v>1.0486284150719569</v>
      </c>
      <c r="X67" s="31">
        <v>1.015156408955513</v>
      </c>
      <c r="Y67" s="31">
        <v>0.98380511277047433</v>
      </c>
      <c r="Z67" s="31">
        <v>0.95366508438040087</v>
      </c>
      <c r="AA67" s="31">
        <v>0.92408332986565278</v>
      </c>
      <c r="AB67" s="31">
        <v>0.89466330352330914</v>
      </c>
      <c r="AC67" s="32">
        <v>0.86526490786729593</v>
      </c>
    </row>
    <row r="68" spans="1:29" x14ac:dyDescent="0.25">
      <c r="A68" s="30">
        <v>5</v>
      </c>
      <c r="B68" s="31">
        <v>6.6332161999456689</v>
      </c>
      <c r="C68" s="31">
        <v>5.8844938888018241</v>
      </c>
      <c r="D68" s="31">
        <v>5.2167493591812679</v>
      </c>
      <c r="E68" s="31">
        <v>4.6236670582118222</v>
      </c>
      <c r="F68" s="31">
        <v>4.0991878812381009</v>
      </c>
      <c r="G68" s="31">
        <v>3.6375091718215118</v>
      </c>
      <c r="H68" s="31">
        <v>3.2330847217402421</v>
      </c>
      <c r="I68" s="31">
        <v>2.8806247709892778</v>
      </c>
      <c r="J68" s="31">
        <v>2.5750960077803922</v>
      </c>
      <c r="K68" s="31">
        <v>2.3117215685421382</v>
      </c>
      <c r="L68" s="31">
        <v>2.0859810379198751</v>
      </c>
      <c r="M68" s="31">
        <v>1.893610448775743</v>
      </c>
      <c r="N68" s="31">
        <v>1.73060228218867</v>
      </c>
      <c r="O68" s="31">
        <v>1.593205467454389</v>
      </c>
      <c r="P68" s="31">
        <v>1.477925382085393</v>
      </c>
      <c r="Q68" s="31">
        <v>1.381523851810996</v>
      </c>
      <c r="R68" s="31">
        <v>1.301019150577283</v>
      </c>
      <c r="S68" s="31">
        <v>1.2336860005471311</v>
      </c>
      <c r="T68" s="31">
        <v>1.17705557210022</v>
      </c>
      <c r="U68" s="31">
        <v>1.128915483832998</v>
      </c>
      <c r="V68" s="31">
        <v>1.0873098025587249</v>
      </c>
      <c r="W68" s="31">
        <v>1.0505390433074231</v>
      </c>
      <c r="X68" s="31">
        <v>1.017160169325948</v>
      </c>
      <c r="Y68" s="31">
        <v>0.98598659207789485</v>
      </c>
      <c r="Z68" s="31">
        <v>0.95608817124368051</v>
      </c>
      <c r="AA68" s="31">
        <v>0.92679121472051695</v>
      </c>
      <c r="AB68" s="31">
        <v>0.89767847862235528</v>
      </c>
      <c r="AC68" s="32">
        <v>0.8685891672800069</v>
      </c>
    </row>
    <row r="69" spans="1:29" x14ac:dyDescent="0.25">
      <c r="A69" s="30">
        <v>10</v>
      </c>
      <c r="B69" s="31">
        <v>6.6899187335246628</v>
      </c>
      <c r="C69" s="31">
        <v>5.9346898551823193</v>
      </c>
      <c r="D69" s="31">
        <v>5.2609596775654142</v>
      </c>
      <c r="E69" s="31">
        <v>4.6623919496186321</v>
      </c>
      <c r="F69" s="31">
        <v>4.1329068685034471</v>
      </c>
      <c r="G69" s="31">
        <v>3.6666810795981299</v>
      </c>
      <c r="H69" s="31">
        <v>3.2581476764977428</v>
      </c>
      <c r="I69" s="31">
        <v>2.9019962010141289</v>
      </c>
      <c r="J69" s="31">
        <v>2.5931726431759259</v>
      </c>
      <c r="K69" s="31">
        <v>2.3268794412285621</v>
      </c>
      <c r="L69" s="31">
        <v>2.098575481634247</v>
      </c>
      <c r="M69" s="31">
        <v>1.9039760990719969</v>
      </c>
      <c r="N69" s="31">
        <v>1.739053076437608</v>
      </c>
      <c r="O69" s="31">
        <v>1.6000346448436571</v>
      </c>
      <c r="P69" s="31">
        <v>1.4834054836195301</v>
      </c>
      <c r="Q69" s="31">
        <v>1.3859067203113891</v>
      </c>
      <c r="R69" s="31">
        <v>1.3045359306821811</v>
      </c>
      <c r="S69" s="31">
        <v>1.2365471387116631</v>
      </c>
      <c r="T69" s="31">
        <v>1.179450816596364</v>
      </c>
      <c r="U69" s="31">
        <v>1.1310138847496121</v>
      </c>
      <c r="V69" s="31">
        <v>1.089259711801523</v>
      </c>
      <c r="W69" s="31">
        <v>1.0524681145989949</v>
      </c>
      <c r="X69" s="31">
        <v>1.019175358205725</v>
      </c>
      <c r="Y69" s="31">
        <v>0.98817415590220037</v>
      </c>
      <c r="Z69" s="31">
        <v>0.95851366918567082</v>
      </c>
      <c r="AA69" s="31">
        <v>0.92949950777024926</v>
      </c>
      <c r="AB69" s="31">
        <v>0.90069372958673655</v>
      </c>
      <c r="AC69" s="32">
        <v>0.87191484078281434</v>
      </c>
    </row>
    <row r="70" spans="1:29" x14ac:dyDescent="0.25">
      <c r="A70" s="30">
        <v>15</v>
      </c>
      <c r="B70" s="31">
        <v>6.747174544498618</v>
      </c>
      <c r="C70" s="31">
        <v>5.9853969393593092</v>
      </c>
      <c r="D70" s="31">
        <v>5.3056406247018861</v>
      </c>
      <c r="E70" s="31">
        <v>4.7015486512878999</v>
      </c>
      <c r="F70" s="31">
        <v>4.1670205180956881</v>
      </c>
      <c r="G70" s="31">
        <v>3.69621217232039</v>
      </c>
      <c r="H70" s="31">
        <v>3.283536009373929</v>
      </c>
      <c r="I70" s="31">
        <v>2.9236608728850149</v>
      </c>
      <c r="J70" s="31">
        <v>2.6115120546991508</v>
      </c>
      <c r="K70" s="31">
        <v>2.342271294878628</v>
      </c>
      <c r="L70" s="31">
        <v>2.111376781702528</v>
      </c>
      <c r="M70" s="31">
        <v>1.914523151666724</v>
      </c>
      <c r="N70" s="31">
        <v>1.7476614894838769</v>
      </c>
      <c r="O70" s="31">
        <v>1.6069993280834369</v>
      </c>
      <c r="P70" s="31">
        <v>1.48900064861165</v>
      </c>
      <c r="Q70" s="31">
        <v>1.3903858804315421</v>
      </c>
      <c r="R70" s="31">
        <v>1.3081319011229271</v>
      </c>
      <c r="S70" s="31">
        <v>1.239472036482425</v>
      </c>
      <c r="T70" s="31">
        <v>1.181896060523435</v>
      </c>
      <c r="U70" s="31">
        <v>1.1331501954761429</v>
      </c>
      <c r="V70" s="31">
        <v>1.091237111787529</v>
      </c>
      <c r="W70" s="31">
        <v>1.054415928121367</v>
      </c>
      <c r="X70" s="31">
        <v>1.0212022113582211</v>
      </c>
      <c r="Y70" s="31">
        <v>0.99036797659542219</v>
      </c>
      <c r="Z70" s="31">
        <v>0.96094168714710748</v>
      </c>
      <c r="AA70" s="31">
        <v>0.93220825454423406</v>
      </c>
      <c r="AB70" s="31">
        <v>0.90370903853449036</v>
      </c>
      <c r="AC70" s="32">
        <v>0.87524184708240693</v>
      </c>
    </row>
    <row r="71" spans="1:29" x14ac:dyDescent="0.25">
      <c r="A71" s="30">
        <v>20</v>
      </c>
      <c r="B71" s="31">
        <v>6.8049852660871579</v>
      </c>
      <c r="C71" s="31">
        <v>6.0366167111410753</v>
      </c>
      <c r="D71" s="31">
        <v>5.3507937069876306</v>
      </c>
      <c r="E71" s="31">
        <v>4.741138606205233</v>
      </c>
      <c r="F71" s="31">
        <v>4.2015302095890998</v>
      </c>
      <c r="G71" s="31">
        <v>3.7261037661512262</v>
      </c>
      <c r="H71" s="31">
        <v>3.3092509731203998</v>
      </c>
      <c r="I71" s="31">
        <v>2.9456199759421962</v>
      </c>
      <c r="J71" s="31">
        <v>2.6301153682789868</v>
      </c>
      <c r="K71" s="31">
        <v>2.3578981920099298</v>
      </c>
      <c r="L71" s="31">
        <v>2.124385937230961</v>
      </c>
      <c r="M71" s="31">
        <v>1.925252542254829</v>
      </c>
      <c r="N71" s="31">
        <v>1.7564283936110581</v>
      </c>
      <c r="O71" s="31">
        <v>1.6141003260459661</v>
      </c>
      <c r="P71" s="31">
        <v>1.4947116225226511</v>
      </c>
      <c r="Q71" s="31">
        <v>1.394962014221016</v>
      </c>
      <c r="R71" s="31">
        <v>1.311807680537741</v>
      </c>
      <c r="S71" s="31">
        <v>1.2424612490863041</v>
      </c>
      <c r="T71" s="31">
        <v>1.1843917956969761</v>
      </c>
      <c r="U71" s="31">
        <v>1.1353248444167989</v>
      </c>
      <c r="V71" s="31">
        <v>1.0932423675096259</v>
      </c>
      <c r="W71" s="31">
        <v>1.0563827854560961</v>
      </c>
      <c r="X71" s="31">
        <v>1.0232409669536331</v>
      </c>
      <c r="Y71" s="31">
        <v>0.99256822891642404</v>
      </c>
      <c r="Z71" s="31">
        <v>0.96337233647549803</v>
      </c>
      <c r="AA71" s="31">
        <v>0.93491750297866183</v>
      </c>
      <c r="AB71" s="31">
        <v>0.90672438999045479</v>
      </c>
      <c r="AC71" s="32">
        <v>0.87857010729230089</v>
      </c>
    </row>
    <row r="72" spans="1:29" x14ac:dyDescent="0.25">
      <c r="A72" s="30">
        <v>25</v>
      </c>
      <c r="B72" s="31">
        <v>6.8633525339167374</v>
      </c>
      <c r="C72" s="31">
        <v>6.0883507427427306</v>
      </c>
      <c r="D72" s="31">
        <v>5.3964204332264174</v>
      </c>
      <c r="E72" s="31">
        <v>4.7811632597630771</v>
      </c>
      <c r="F72" s="31">
        <v>4.23643732496478</v>
      </c>
      <c r="G72" s="31">
        <v>3.7563571796603981</v>
      </c>
      <c r="H72" s="31">
        <v>3.3352938228955802</v>
      </c>
      <c r="I72" s="31">
        <v>2.967874701932764</v>
      </c>
      <c r="J72" s="31">
        <v>2.6489837122511881</v>
      </c>
      <c r="K72" s="31">
        <v>2.3737611975468731</v>
      </c>
      <c r="L72" s="31">
        <v>2.137603949732628</v>
      </c>
      <c r="M72" s="31">
        <v>1.936165208938061</v>
      </c>
      <c r="N72" s="31">
        <v>1.7653546635095589</v>
      </c>
      <c r="O72" s="31">
        <v>1.6213384500103041</v>
      </c>
      <c r="P72" s="31">
        <v>1.500539153220265</v>
      </c>
      <c r="Q72" s="31">
        <v>1.3996358061362151</v>
      </c>
      <c r="R72" s="31">
        <v>1.3155638899716799</v>
      </c>
      <c r="S72" s="31">
        <v>1.2455153341570151</v>
      </c>
      <c r="T72" s="31">
        <v>1.186938516339362</v>
      </c>
      <c r="U72" s="31">
        <v>1.137538262382616</v>
      </c>
      <c r="V72" s="31">
        <v>1.0952758463675121</v>
      </c>
      <c r="W72" s="31">
        <v>1.0583689905915321</v>
      </c>
      <c r="X72" s="31">
        <v>1.025291865568974</v>
      </c>
      <c r="Y72" s="31">
        <v>0.99477509003090392</v>
      </c>
      <c r="Z72" s="31">
        <v>0.96580573092520439</v>
      </c>
      <c r="AA72" s="31">
        <v>0.93762730341653877</v>
      </c>
      <c r="AB72" s="31">
        <v>0.90973977088633406</v>
      </c>
      <c r="AC72" s="32">
        <v>0.88189954493284217</v>
      </c>
    </row>
    <row r="73" spans="1:29" x14ac:dyDescent="0.25">
      <c r="A73" s="30">
        <v>30</v>
      </c>
      <c r="B73" s="31">
        <v>6.9222779860206298</v>
      </c>
      <c r="C73" s="31">
        <v>6.1406006087862179</v>
      </c>
      <c r="D73" s="31">
        <v>5.4425223146288566</v>
      </c>
      <c r="E73" s="31">
        <v>4.8216240597606932</v>
      </c>
      <c r="F73" s="31">
        <v>4.2717432486106626</v>
      </c>
      <c r="G73" s="31">
        <v>3.7869737338245022</v>
      </c>
      <c r="H73" s="31">
        <v>3.3616658162647202</v>
      </c>
      <c r="I73" s="31">
        <v>2.990426245010632</v>
      </c>
      <c r="J73" s="31">
        <v>2.6681182173583302</v>
      </c>
      <c r="K73" s="31">
        <v>2.389861378820703</v>
      </c>
      <c r="L73" s="31">
        <v>2.1510318231274308</v>
      </c>
      <c r="M73" s="31">
        <v>1.9472620922249719</v>
      </c>
      <c r="N73" s="31">
        <v>1.7744411762765979</v>
      </c>
      <c r="O73" s="31">
        <v>1.62871451366234</v>
      </c>
      <c r="P73" s="31">
        <v>1.506483990979044</v>
      </c>
      <c r="Q73" s="31">
        <v>1.4044079430403309</v>
      </c>
      <c r="R73" s="31">
        <v>1.319401152876609</v>
      </c>
      <c r="S73" s="31">
        <v>1.2486348517351049</v>
      </c>
      <c r="T73" s="31">
        <v>1.1895367190798041</v>
      </c>
      <c r="U73" s="31">
        <v>1.139790882591472</v>
      </c>
      <c r="V73" s="31">
        <v>1.0973379181677141</v>
      </c>
      <c r="W73" s="31">
        <v>1.0603748499228729</v>
      </c>
      <c r="X73" s="31">
        <v>1.027355150188122</v>
      </c>
      <c r="Y73" s="31">
        <v>0.99698873951138001</v>
      </c>
      <c r="Z73" s="31">
        <v>0.96824198665739336</v>
      </c>
      <c r="AA73" s="31">
        <v>0.94033770860770372</v>
      </c>
      <c r="AB73" s="31">
        <v>0.91275517056058353</v>
      </c>
      <c r="AC73" s="32">
        <v>0.88523008593117691</v>
      </c>
    </row>
    <row r="74" spans="1:29" x14ac:dyDescent="0.25">
      <c r="A74" s="30">
        <v>35</v>
      </c>
      <c r="B74" s="31">
        <v>6.9817632628389328</v>
      </c>
      <c r="C74" s="31">
        <v>6.1933678863002921</v>
      </c>
      <c r="D74" s="31">
        <v>5.4891008648123663</v>
      </c>
      <c r="E74" s="31">
        <v>4.8625224564041627</v>
      </c>
      <c r="F74" s="31">
        <v>4.307449367321488</v>
      </c>
      <c r="G74" s="31">
        <v>3.8179547520269388</v>
      </c>
      <c r="H74" s="31">
        <v>3.3883682131998958</v>
      </c>
      <c r="I74" s="31">
        <v>3.013275801736532</v>
      </c>
      <c r="J74" s="31">
        <v>2.6875200167498088</v>
      </c>
      <c r="K74" s="31">
        <v>2.40619980556948</v>
      </c>
      <c r="L74" s="31">
        <v>2.1646705637420842</v>
      </c>
      <c r="M74" s="31">
        <v>1.958544135030956</v>
      </c>
      <c r="N74" s="31">
        <v>1.783688811416223</v>
      </c>
      <c r="O74" s="31">
        <v>1.6362293330947879</v>
      </c>
      <c r="P74" s="31">
        <v>1.512546888480353</v>
      </c>
      <c r="Q74" s="31">
        <v>1.4092791142034149</v>
      </c>
      <c r="R74" s="31">
        <v>1.323320095111248</v>
      </c>
      <c r="S74" s="31">
        <v>1.25182036426792</v>
      </c>
      <c r="T74" s="31">
        <v>1.192186902954308</v>
      </c>
      <c r="U74" s="31">
        <v>1.1420831406680441</v>
      </c>
      <c r="V74" s="31">
        <v>1.099428955123571</v>
      </c>
      <c r="W74" s="31">
        <v>1.062400672252124</v>
      </c>
      <c r="X74" s="31">
        <v>1.0294310662017261</v>
      </c>
      <c r="Y74" s="31">
        <v>0.99920935933718091</v>
      </c>
      <c r="Z74" s="31">
        <v>0.97068122224007258</v>
      </c>
      <c r="AA74" s="31">
        <v>0.94304877370882079</v>
      </c>
      <c r="AB74" s="31">
        <v>0.91577058075858098</v>
      </c>
      <c r="AC74" s="32">
        <v>0.88856165862131664</v>
      </c>
    </row>
    <row r="75" spans="1:29" x14ac:dyDescent="0.25">
      <c r="A75" s="30">
        <v>40</v>
      </c>
      <c r="B75" s="31">
        <v>7.0418100072185572</v>
      </c>
      <c r="C75" s="31">
        <v>6.2466541547205292</v>
      </c>
      <c r="D75" s="31">
        <v>5.5361575998011823</v>
      </c>
      <c r="E75" s="31">
        <v>4.9038599023063894</v>
      </c>
      <c r="F75" s="31">
        <v>4.3435570702988224</v>
      </c>
      <c r="G75" s="31">
        <v>3.8493015600579419</v>
      </c>
      <c r="H75" s="31">
        <v>3.4154022760799951</v>
      </c>
      <c r="I75" s="31">
        <v>3.0364245710780171</v>
      </c>
      <c r="J75" s="31">
        <v>2.7071902459818391</v>
      </c>
      <c r="K75" s="31">
        <v>2.422777549938075</v>
      </c>
      <c r="L75" s="31">
        <v>2.1785211803101339</v>
      </c>
      <c r="M75" s="31">
        <v>1.9700122826782129</v>
      </c>
      <c r="N75" s="31">
        <v>1.7930984508392951</v>
      </c>
      <c r="O75" s="31">
        <v>1.6438837268071691</v>
      </c>
      <c r="P75" s="31">
        <v>1.5187286008123879</v>
      </c>
      <c r="Q75" s="31">
        <v>1.414250011302312</v>
      </c>
      <c r="R75" s="31">
        <v>1.3273213449410839</v>
      </c>
      <c r="S75" s="31">
        <v>1.255072436609644</v>
      </c>
      <c r="T75" s="31">
        <v>1.19488956940572</v>
      </c>
      <c r="U75" s="31">
        <v>1.1444154746438211</v>
      </c>
      <c r="V75" s="31">
        <v>1.1015493318552609</v>
      </c>
      <c r="W75" s="31">
        <v>1.064446768788111</v>
      </c>
      <c r="X75" s="31">
        <v>1.0315198614072829</v>
      </c>
      <c r="Y75" s="31">
        <v>1.0014371338944521</v>
      </c>
      <c r="Z75" s="31">
        <v>0.97312355864803779</v>
      </c>
      <c r="AA75" s="31">
        <v>0.94576055628335742</v>
      </c>
      <c r="AB75" s="31">
        <v>0.91878599563241747</v>
      </c>
      <c r="AC75" s="32">
        <v>0.89189419374405088</v>
      </c>
    </row>
    <row r="76" spans="1:29" x14ac:dyDescent="0.25">
      <c r="A76" s="30">
        <v>45</v>
      </c>
      <c r="B76" s="31">
        <v>7.1024198644132479</v>
      </c>
      <c r="C76" s="31">
        <v>6.3004609958893374</v>
      </c>
      <c r="D76" s="31">
        <v>5.5836940380263727</v>
      </c>
      <c r="E76" s="31">
        <v>4.9456378524871054</v>
      </c>
      <c r="F76" s="31">
        <v>4.380067749151058</v>
      </c>
      <c r="G76" s="31">
        <v>3.8810154861145612</v>
      </c>
      <c r="H76" s="31">
        <v>3.4427692696907299</v>
      </c>
      <c r="I76" s="31">
        <v>3.0598737544094661</v>
      </c>
      <c r="J76" s="31">
        <v>2.727130043017461</v>
      </c>
      <c r="K76" s="31">
        <v>2.4395956864781949</v>
      </c>
      <c r="L76" s="31">
        <v>2.192584683971941</v>
      </c>
      <c r="M76" s="31">
        <v>1.9816674828957641</v>
      </c>
      <c r="N76" s="31">
        <v>1.8026709788635189</v>
      </c>
      <c r="O76" s="31">
        <v>1.651678515705838</v>
      </c>
      <c r="P76" s="31">
        <v>1.5250298854701581</v>
      </c>
      <c r="Q76" s="31">
        <v>1.419321328420706</v>
      </c>
      <c r="R76" s="31">
        <v>1.3314055330384731</v>
      </c>
      <c r="S76" s="31">
        <v>1.258391636021283</v>
      </c>
      <c r="T76" s="31">
        <v>1.1976452222837171</v>
      </c>
      <c r="U76" s="31">
        <v>1.1467883249571471</v>
      </c>
      <c r="V76" s="31">
        <v>1.1036994253897501</v>
      </c>
      <c r="W76" s="31">
        <v>1.0665134531464859</v>
      </c>
      <c r="X76" s="31">
        <v>1.033621786009123</v>
      </c>
      <c r="Y76" s="31">
        <v>1.003672249976173</v>
      </c>
      <c r="Z76" s="31">
        <v>0.97556911926296441</v>
      </c>
      <c r="AA76" s="31">
        <v>0.94847311630163167</v>
      </c>
      <c r="AB76" s="31">
        <v>0.92180141174107166</v>
      </c>
      <c r="AC76" s="32">
        <v>0.89522762444700277</v>
      </c>
    </row>
    <row r="77" spans="1:29" x14ac:dyDescent="0.25">
      <c r="A77" s="30">
        <v>50</v>
      </c>
      <c r="B77" s="31">
        <v>7.1635944820835693</v>
      </c>
      <c r="C77" s="31">
        <v>6.3547899940559356</v>
      </c>
      <c r="D77" s="31">
        <v>5.6317117003258321</v>
      </c>
      <c r="E77" s="31">
        <v>4.9878577643728539</v>
      </c>
      <c r="F77" s="31">
        <v>4.4169827978934073</v>
      </c>
      <c r="G77" s="31">
        <v>3.9130978608006779</v>
      </c>
      <c r="H77" s="31">
        <v>3.470470461224648</v>
      </c>
      <c r="I77" s="31">
        <v>3.0836245555120829</v>
      </c>
      <c r="J77" s="31">
        <v>2.7473405482265418</v>
      </c>
      <c r="K77" s="31">
        <v>2.4566552921483682</v>
      </c>
      <c r="L77" s="31">
        <v>2.2068620882747041</v>
      </c>
      <c r="M77" s="31">
        <v>1.9935106858194711</v>
      </c>
      <c r="N77" s="31">
        <v>1.812407282213395</v>
      </c>
      <c r="O77" s="31">
        <v>1.6596145231039769</v>
      </c>
      <c r="P77" s="31">
        <v>1.5314515023555171</v>
      </c>
      <c r="Q77" s="31">
        <v>1.4244937620490929</v>
      </c>
      <c r="R77" s="31">
        <v>1.3355732924825849</v>
      </c>
      <c r="S77" s="31">
        <v>1.26177853217066</v>
      </c>
      <c r="T77" s="31">
        <v>1.2004543678447781</v>
      </c>
      <c r="U77" s="31">
        <v>1.1492021344531731</v>
      </c>
      <c r="V77" s="31">
        <v>1.1058796151608969</v>
      </c>
      <c r="W77" s="31">
        <v>1.0686010413497451</v>
      </c>
      <c r="X77" s="31">
        <v>1.0357370926183731</v>
      </c>
      <c r="Y77" s="31">
        <v>1.0059148967821481</v>
      </c>
      <c r="Z77" s="31">
        <v>0.97801802987327779</v>
      </c>
      <c r="AA77" s="31">
        <v>0.95118651614076932</v>
      </c>
      <c r="AB77" s="31">
        <v>0.92481682805035537</v>
      </c>
      <c r="AC77" s="32">
        <v>0.89856188628462164</v>
      </c>
    </row>
    <row r="78" spans="1:29" x14ac:dyDescent="0.25">
      <c r="A78" s="30">
        <v>55</v>
      </c>
      <c r="B78" s="31">
        <v>7.2253355102969081</v>
      </c>
      <c r="C78" s="31">
        <v>6.4096427358763881</v>
      </c>
      <c r="D78" s="31">
        <v>5.6802121099442688</v>
      </c>
      <c r="E78" s="31">
        <v>5.0305210977970196</v>
      </c>
      <c r="F78" s="31">
        <v>4.4543036129479088</v>
      </c>
      <c r="G78" s="31">
        <v>3.9455500171269899</v>
      </c>
      <c r="H78" s="31">
        <v>3.498507120281106</v>
      </c>
      <c r="I78" s="31">
        <v>3.10767818057389</v>
      </c>
      <c r="J78" s="31">
        <v>2.7678229043857669</v>
      </c>
      <c r="K78" s="31">
        <v>2.4739574463139422</v>
      </c>
      <c r="L78" s="31">
        <v>2.221354409172426</v>
      </c>
      <c r="M78" s="31">
        <v>2.0055428439920049</v>
      </c>
      <c r="N78" s="31">
        <v>1.8223082500202701</v>
      </c>
      <c r="O78" s="31">
        <v>1.6676925747215809</v>
      </c>
      <c r="P78" s="31">
        <v>1.537994213777111</v>
      </c>
      <c r="Q78" s="31">
        <v>1.429768011084803</v>
      </c>
      <c r="R78" s="31">
        <v>1.3398252587593971</v>
      </c>
      <c r="S78" s="31">
        <v>1.2652336971324269</v>
      </c>
      <c r="T78" s="31">
        <v>1.203317514752215</v>
      </c>
      <c r="U78" s="31">
        <v>1.151657348383875</v>
      </c>
      <c r="V78" s="31">
        <v>1.108090283009294</v>
      </c>
      <c r="W78" s="31">
        <v>1.070709851827168</v>
      </c>
      <c r="X78" s="31">
        <v>1.037866036252993</v>
      </c>
      <c r="Y78" s="31">
        <v>1.0081652659190199</v>
      </c>
      <c r="Z78" s="31">
        <v>0.98047041867430507</v>
      </c>
      <c r="AA78" s="31">
        <v>0.95390082058471082</v>
      </c>
      <c r="AB78" s="31">
        <v>0.92783224593286229</v>
      </c>
      <c r="AC78" s="32">
        <v>0.90189691721819198</v>
      </c>
    </row>
    <row r="79" spans="1:29" x14ac:dyDescent="0.25">
      <c r="A79" s="30">
        <v>60</v>
      </c>
      <c r="B79" s="31">
        <v>7.2876446015274761</v>
      </c>
      <c r="C79" s="31">
        <v>6.465020810413554</v>
      </c>
      <c r="D79" s="31">
        <v>5.729196792533215</v>
      </c>
      <c r="E79" s="31">
        <v>5.0736293149997946</v>
      </c>
      <c r="F79" s="31">
        <v>4.4920315931434232</v>
      </c>
      <c r="G79" s="31">
        <v>3.9783732905110178</v>
      </c>
      <c r="H79" s="31">
        <v>3.5268805188662902</v>
      </c>
      <c r="I79" s="31">
        <v>3.1320358381897369</v>
      </c>
      <c r="J79" s="31">
        <v>2.7885782566786448</v>
      </c>
      <c r="K79" s="31">
        <v>2.491503230747095</v>
      </c>
      <c r="L79" s="31">
        <v>2.2360626650259472</v>
      </c>
      <c r="M79" s="31">
        <v>2.0177649123628658</v>
      </c>
      <c r="N79" s="31">
        <v>1.8323747738223011</v>
      </c>
      <c r="O79" s="31">
        <v>1.67591349868548</v>
      </c>
      <c r="P79" s="31">
        <v>1.544658784450432</v>
      </c>
      <c r="Q79" s="31">
        <v>1.435144776831982</v>
      </c>
      <c r="R79" s="31">
        <v>1.3441620697617169</v>
      </c>
      <c r="S79" s="31">
        <v>1.2687577053880561</v>
      </c>
      <c r="T79" s="31">
        <v>1.206235174076173</v>
      </c>
      <c r="U79" s="31">
        <v>1.154154414408034</v>
      </c>
      <c r="V79" s="31">
        <v>1.1103318131824329</v>
      </c>
      <c r="W79" s="31">
        <v>1.0728402054148909</v>
      </c>
      <c r="X79" s="31">
        <v>1.040008874337776</v>
      </c>
      <c r="Y79" s="31">
        <v>1.010423551400214</v>
      </c>
      <c r="Z79" s="31">
        <v>0.98292641626811816</v>
      </c>
      <c r="AA79" s="31">
        <v>0.95661609682423987</v>
      </c>
      <c r="AB79" s="31">
        <v>0.93084766916803141</v>
      </c>
      <c r="AC79" s="32">
        <v>0.90523265761582294</v>
      </c>
    </row>
    <row r="80" spans="1:29" x14ac:dyDescent="0.25">
      <c r="A80" s="30">
        <v>65</v>
      </c>
      <c r="B80" s="31">
        <v>7.3505234106562938</v>
      </c>
      <c r="C80" s="31">
        <v>6.5209258091371289</v>
      </c>
      <c r="D80" s="31">
        <v>5.7786672761510287</v>
      </c>
      <c r="E80" s="31">
        <v>5.1171838806281986</v>
      </c>
      <c r="F80" s="31">
        <v>4.5301681397156246</v>
      </c>
      <c r="G80" s="31">
        <v>4.0115690187771049</v>
      </c>
      <c r="H80" s="31">
        <v>3.555591931393205</v>
      </c>
      <c r="I80" s="31">
        <v>3.1566987393612882</v>
      </c>
      <c r="J80" s="31">
        <v>2.8096077526955092</v>
      </c>
      <c r="K80" s="31">
        <v>2.5092937296268092</v>
      </c>
      <c r="L80" s="31">
        <v>2.250987876602919</v>
      </c>
      <c r="M80" s="31">
        <v>2.030177848288365</v>
      </c>
      <c r="N80" s="31">
        <v>1.8426077475644631</v>
      </c>
      <c r="O80" s="31">
        <v>1.6842781255293029</v>
      </c>
      <c r="P80" s="31">
        <v>1.5514459814977879</v>
      </c>
      <c r="Q80" s="31">
        <v>1.440624763001596</v>
      </c>
      <c r="R80" s="31">
        <v>1.3485843657891869</v>
      </c>
      <c r="S80" s="31">
        <v>1.2723511338258351</v>
      </c>
      <c r="T80" s="31">
        <v>1.2092078592935991</v>
      </c>
      <c r="U80" s="31">
        <v>1.1566937825912951</v>
      </c>
      <c r="V80" s="31">
        <v>1.112604592334572</v>
      </c>
      <c r="W80" s="31">
        <v>1.0749924253558401</v>
      </c>
      <c r="X80" s="31">
        <v>1.042165866704325</v>
      </c>
      <c r="Y80" s="31">
        <v>1.012689949646008</v>
      </c>
      <c r="Z80" s="31">
        <v>0.98538615566367493</v>
      </c>
      <c r="AA80" s="31">
        <v>0.95933241445692596</v>
      </c>
      <c r="AB80" s="31">
        <v>0.93386310394211214</v>
      </c>
      <c r="AC80" s="32">
        <v>0.90856905025239265</v>
      </c>
    </row>
    <row r="81" spans="1:29" x14ac:dyDescent="0.25">
      <c r="A81" s="30">
        <v>70</v>
      </c>
      <c r="B81" s="31">
        <v>7.4139735949712309</v>
      </c>
      <c r="C81" s="31">
        <v>6.5773593259236307</v>
      </c>
      <c r="D81" s="31">
        <v>5.8286250912628894</v>
      </c>
      <c r="E81" s="31">
        <v>5.1611862617360691</v>
      </c>
      <c r="F81" s="31">
        <v>4.5687146563070256</v>
      </c>
      <c r="G81" s="31">
        <v>4.045138542156419</v>
      </c>
      <c r="H81" s="31">
        <v>3.5846426346816802</v>
      </c>
      <c r="I81" s="31">
        <v>3.1816680974970368</v>
      </c>
      <c r="J81" s="31">
        <v>2.8309125424335111</v>
      </c>
      <c r="K81" s="31">
        <v>2.527330029538907</v>
      </c>
      <c r="L81" s="31">
        <v>2.2661310670778252</v>
      </c>
      <c r="M81" s="31">
        <v>2.042782611531647</v>
      </c>
      <c r="N81" s="31">
        <v>1.8530080675985641</v>
      </c>
      <c r="O81" s="31">
        <v>1.692787288193532</v>
      </c>
      <c r="P81" s="31">
        <v>1.5583565744483061</v>
      </c>
      <c r="Q81" s="31">
        <v>1.4462086757114401</v>
      </c>
      <c r="R81" s="31">
        <v>1.3530927895482541</v>
      </c>
      <c r="S81" s="31">
        <v>1.2760145617408929</v>
      </c>
      <c r="T81" s="31">
        <v>1.212236086288272</v>
      </c>
      <c r="U81" s="31">
        <v>1.1592759054060831</v>
      </c>
      <c r="V81" s="31">
        <v>1.114909009526825</v>
      </c>
      <c r="W81" s="31">
        <v>1.077166837299796</v>
      </c>
      <c r="X81" s="31">
        <v>1.0443372755910649</v>
      </c>
      <c r="Y81" s="31">
        <v>1.014964659483478</v>
      </c>
      <c r="Z81" s="31">
        <v>0.987849772276718</v>
      </c>
      <c r="AA81" s="31">
        <v>0.96204984548721484</v>
      </c>
      <c r="AB81" s="31">
        <v>0.93687855884818927</v>
      </c>
      <c r="AC81" s="32">
        <v>0.91190604030969524</v>
      </c>
    </row>
    <row r="82" spans="1:29" x14ac:dyDescent="0.25">
      <c r="A82" s="30">
        <v>75</v>
      </c>
      <c r="B82" s="31">
        <v>7.4779968141669464</v>
      </c>
      <c r="C82" s="31">
        <v>6.6343229570563951</v>
      </c>
      <c r="D82" s="31">
        <v>5.8790717707407936</v>
      </c>
      <c r="E82" s="31">
        <v>5.2056379277840676</v>
      </c>
      <c r="F82" s="31">
        <v>4.6076725489669466</v>
      </c>
      <c r="G82" s="31">
        <v>4.0790832032869426</v>
      </c>
      <c r="H82" s="31">
        <v>3.6140339079583641</v>
      </c>
      <c r="I82" s="31">
        <v>3.2069451284122938</v>
      </c>
      <c r="J82" s="31">
        <v>2.852493778296628</v>
      </c>
      <c r="K82" s="31">
        <v>2.5456132194760279</v>
      </c>
      <c r="L82" s="31">
        <v>2.2814932620319621</v>
      </c>
      <c r="M82" s="31">
        <v>2.055580164262683</v>
      </c>
      <c r="N82" s="31">
        <v>1.8635766326832339</v>
      </c>
      <c r="O82" s="31">
        <v>1.701441822025443</v>
      </c>
      <c r="P82" s="31">
        <v>1.5653913352379329</v>
      </c>
      <c r="Q82" s="31">
        <v>1.451897223486122</v>
      </c>
      <c r="R82" s="31">
        <v>1.357687986152198</v>
      </c>
      <c r="S82" s="31">
        <v>1.2797485708351639</v>
      </c>
      <c r="T82" s="31">
        <v>1.215320373350794</v>
      </c>
      <c r="U82" s="31">
        <v>1.161901237731662</v>
      </c>
      <c r="V82" s="31">
        <v>1.117245456227133</v>
      </c>
      <c r="W82" s="31">
        <v>1.07936376930334</v>
      </c>
      <c r="X82" s="31">
        <v>1.0465233656432531</v>
      </c>
      <c r="Y82" s="31">
        <v>1.0172478821465749</v>
      </c>
      <c r="Z82" s="31">
        <v>0.9903174039298186</v>
      </c>
      <c r="AA82" s="31">
        <v>0.96476846432632812</v>
      </c>
      <c r="AB82" s="31">
        <v>0.93989404488617379</v>
      </c>
      <c r="AC82" s="32">
        <v>0.91524357537625523</v>
      </c>
    </row>
    <row r="83" spans="1:29" x14ac:dyDescent="0.25">
      <c r="A83" s="33">
        <v>80</v>
      </c>
      <c r="B83" s="34">
        <v>7.5425947303449554</v>
      </c>
      <c r="C83" s="34">
        <v>6.6918183012255907</v>
      </c>
      <c r="D83" s="34">
        <v>5.9300088498635741</v>
      </c>
      <c r="E83" s="34">
        <v>5.250540350639695</v>
      </c>
      <c r="F83" s="34">
        <v>4.6470432261515429</v>
      </c>
      <c r="G83" s="34">
        <v>4.1134043472134998</v>
      </c>
      <c r="H83" s="34">
        <v>3.6437670328567351</v>
      </c>
      <c r="I83" s="34">
        <v>3.232531050329206</v>
      </c>
      <c r="J83" s="34">
        <v>2.874352615095662</v>
      </c>
      <c r="K83" s="34">
        <v>2.5641443908376371</v>
      </c>
      <c r="L83" s="34">
        <v>2.2970754894534582</v>
      </c>
      <c r="M83" s="34">
        <v>2.0685714710582479</v>
      </c>
      <c r="N83" s="34">
        <v>1.8743143439839209</v>
      </c>
      <c r="O83" s="34">
        <v>1.710242564779157</v>
      </c>
      <c r="P83" s="34">
        <v>1.572551038209451</v>
      </c>
      <c r="Q83" s="34">
        <v>1.4576911172570819</v>
      </c>
      <c r="R83" s="34">
        <v>1.362370603121114</v>
      </c>
      <c r="S83" s="34">
        <v>1.2835537452174011</v>
      </c>
      <c r="T83" s="34">
        <v>1.2184612411785949</v>
      </c>
      <c r="U83" s="34">
        <v>1.1645702368541211</v>
      </c>
      <c r="V83" s="34">
        <v>1.1196143263102221</v>
      </c>
      <c r="W83" s="34">
        <v>1.081583551829892</v>
      </c>
      <c r="X83" s="34">
        <v>1.04872440391296</v>
      </c>
      <c r="Y83" s="34">
        <v>1.0195398212760021</v>
      </c>
      <c r="Z83" s="34">
        <v>0.99278919085239192</v>
      </c>
      <c r="AA83" s="34">
        <v>0.96748834779234394</v>
      </c>
      <c r="AB83" s="34">
        <v>0.94290957546277454</v>
      </c>
      <c r="AC83" s="35">
        <v>0.91858160544747847</v>
      </c>
    </row>
    <row r="86" spans="1:29" ht="28.9" customHeight="1" x14ac:dyDescent="0.5">
      <c r="A86" s="1" t="s">
        <v>30</v>
      </c>
    </row>
    <row r="87" spans="1:29" ht="32.1" customHeight="1" x14ac:dyDescent="0.25"/>
    <row r="88" spans="1:29" x14ac:dyDescent="0.25">
      <c r="A88" s="2"/>
      <c r="B88" s="3"/>
      <c r="C88" s="3"/>
      <c r="D88" s="4"/>
    </row>
    <row r="89" spans="1:29" x14ac:dyDescent="0.25">
      <c r="A89" s="5" t="s">
        <v>31</v>
      </c>
      <c r="B89" s="6">
        <v>4.0129999999999999</v>
      </c>
      <c r="C89" s="6" t="s">
        <v>11</v>
      </c>
      <c r="D89" s="7"/>
    </row>
    <row r="90" spans="1:29" x14ac:dyDescent="0.25">
      <c r="A90" s="8"/>
      <c r="B90" s="9"/>
      <c r="C90" s="9"/>
      <c r="D90" s="10"/>
    </row>
    <row r="93" spans="1:29" ht="48" customHeight="1" x14ac:dyDescent="0.25">
      <c r="A93" s="21" t="s">
        <v>32</v>
      </c>
      <c r="B93" s="23" t="s">
        <v>33</v>
      </c>
    </row>
    <row r="94" spans="1:29" x14ac:dyDescent="0.25">
      <c r="A94" s="5">
        <v>0</v>
      </c>
      <c r="B94" s="32">
        <v>0</v>
      </c>
    </row>
    <row r="95" spans="1:29" x14ac:dyDescent="0.25">
      <c r="A95" s="5">
        <v>6.0999999999999999E-2</v>
      </c>
      <c r="B95" s="32">
        <v>-4.8269460526315922E-2</v>
      </c>
    </row>
    <row r="96" spans="1:29" x14ac:dyDescent="0.25">
      <c r="A96" s="5">
        <v>0.122</v>
      </c>
      <c r="B96" s="32">
        <v>-9.2341319548872369E-2</v>
      </c>
    </row>
    <row r="97" spans="1:2" x14ac:dyDescent="0.25">
      <c r="A97" s="5">
        <v>0.182</v>
      </c>
      <c r="B97" s="32">
        <v>-0.12837147334244711</v>
      </c>
    </row>
    <row r="98" spans="1:2" x14ac:dyDescent="0.25">
      <c r="A98" s="5">
        <v>0.24299999999999999</v>
      </c>
      <c r="B98" s="32">
        <v>-0.17351945110389619</v>
      </c>
    </row>
    <row r="99" spans="1:2" x14ac:dyDescent="0.25">
      <c r="A99" s="5">
        <v>0.30399999999999999</v>
      </c>
      <c r="B99" s="32">
        <v>-0.21743959013698649</v>
      </c>
    </row>
    <row r="100" spans="1:2" x14ac:dyDescent="0.25">
      <c r="A100" s="5">
        <v>0.36499999999999999</v>
      </c>
      <c r="B100" s="32">
        <v>-0.1930562147260276</v>
      </c>
    </row>
    <row r="101" spans="1:2" x14ac:dyDescent="0.25">
      <c r="A101" s="5">
        <v>0.42599999999999999</v>
      </c>
      <c r="B101" s="32">
        <v>-0.18688436175959869</v>
      </c>
    </row>
    <row r="102" spans="1:2" x14ac:dyDescent="0.25">
      <c r="A102" s="5">
        <v>0.48599999999999999</v>
      </c>
      <c r="B102" s="32">
        <v>-0.20492730407100121</v>
      </c>
    </row>
    <row r="103" spans="1:2" x14ac:dyDescent="0.25">
      <c r="A103" s="5">
        <v>0.54700000000000004</v>
      </c>
      <c r="B103" s="32">
        <v>3.4832116037131933E-2</v>
      </c>
    </row>
    <row r="104" spans="1:2" x14ac:dyDescent="0.25">
      <c r="A104" s="5">
        <v>0.60799999999999998</v>
      </c>
      <c r="B104" s="32">
        <v>0.31793030936384609</v>
      </c>
    </row>
    <row r="105" spans="1:2" x14ac:dyDescent="0.25">
      <c r="A105" s="5">
        <v>0.66900000000000004</v>
      </c>
      <c r="B105" s="32">
        <v>0.37880616258135608</v>
      </c>
    </row>
    <row r="106" spans="1:2" x14ac:dyDescent="0.25">
      <c r="A106" s="5">
        <v>0.73</v>
      </c>
      <c r="B106" s="32">
        <v>0.46969672258584688</v>
      </c>
    </row>
    <row r="107" spans="1:2" x14ac:dyDescent="0.25">
      <c r="A107" s="5">
        <v>0.79</v>
      </c>
      <c r="B107" s="32">
        <v>0.58960402457047445</v>
      </c>
    </row>
    <row r="108" spans="1:2" x14ac:dyDescent="0.25">
      <c r="A108" s="5">
        <v>0.85099999999999998</v>
      </c>
      <c r="B108" s="32">
        <v>0.55869100881191125</v>
      </c>
    </row>
    <row r="109" spans="1:2" x14ac:dyDescent="0.25">
      <c r="A109" s="5">
        <v>0.91200000000000003</v>
      </c>
      <c r="B109" s="32">
        <v>0.49781352780309918</v>
      </c>
    </row>
    <row r="110" spans="1:2" x14ac:dyDescent="0.25">
      <c r="A110" s="5">
        <v>0.97299999999999998</v>
      </c>
      <c r="B110" s="32">
        <v>0.43693604679428721</v>
      </c>
    </row>
    <row r="111" spans="1:2" x14ac:dyDescent="0.25">
      <c r="A111" s="5">
        <v>1.034</v>
      </c>
      <c r="B111" s="32">
        <v>0.53893090797088239</v>
      </c>
    </row>
    <row r="112" spans="1:2" x14ac:dyDescent="0.25">
      <c r="A112" s="5">
        <v>1.0940000000000001</v>
      </c>
      <c r="B112" s="32">
        <v>0.76647319878120745</v>
      </c>
    </row>
    <row r="113" spans="1:2" x14ac:dyDescent="0.25">
      <c r="A113" s="5">
        <v>1.155</v>
      </c>
      <c r="B113" s="32">
        <v>0.73716019236735952</v>
      </c>
    </row>
    <row r="114" spans="1:2" x14ac:dyDescent="0.25">
      <c r="A114" s="5">
        <v>1.216</v>
      </c>
      <c r="B114" s="32">
        <v>0.67941289481849199</v>
      </c>
    </row>
    <row r="115" spans="1:2" x14ac:dyDescent="0.25">
      <c r="A115" s="5">
        <v>1.2769999999999999</v>
      </c>
      <c r="B115" s="32">
        <v>0.62166559726962456</v>
      </c>
    </row>
    <row r="116" spans="1:2" x14ac:dyDescent="0.25">
      <c r="A116" s="5">
        <v>1.3380000000000001</v>
      </c>
      <c r="B116" s="32">
        <v>0.5639182997207568</v>
      </c>
    </row>
    <row r="117" spans="1:2" x14ac:dyDescent="0.25">
      <c r="A117" s="5">
        <v>1.3979999999999999</v>
      </c>
      <c r="B117" s="32">
        <v>0.50711767918088724</v>
      </c>
    </row>
    <row r="118" spans="1:2" x14ac:dyDescent="0.25">
      <c r="A118" s="5">
        <v>1.4590000000000001</v>
      </c>
      <c r="B118" s="32">
        <v>0.45522139043882509</v>
      </c>
    </row>
    <row r="119" spans="1:2" x14ac:dyDescent="0.25">
      <c r="A119" s="5">
        <v>1.52</v>
      </c>
      <c r="B119" s="32">
        <v>0.4205403764420152</v>
      </c>
    </row>
    <row r="120" spans="1:2" x14ac:dyDescent="0.25">
      <c r="A120" s="5">
        <v>1.581</v>
      </c>
      <c r="B120" s="32">
        <v>0.42074408014571901</v>
      </c>
    </row>
    <row r="121" spans="1:2" x14ac:dyDescent="0.25">
      <c r="A121" s="5">
        <v>1.6419999999999999</v>
      </c>
      <c r="B121" s="32">
        <v>0.42094778384942277</v>
      </c>
    </row>
    <row r="122" spans="1:2" x14ac:dyDescent="0.25">
      <c r="A122" s="5">
        <v>1.702</v>
      </c>
      <c r="B122" s="32">
        <v>0.42114814814814783</v>
      </c>
    </row>
    <row r="123" spans="1:2" x14ac:dyDescent="0.25">
      <c r="A123" s="5">
        <v>1.7629999999999999</v>
      </c>
      <c r="B123" s="32">
        <v>0.42135185185185142</v>
      </c>
    </row>
    <row r="124" spans="1:2" x14ac:dyDescent="0.25">
      <c r="A124" s="5">
        <v>1.8240000000000001</v>
      </c>
      <c r="B124" s="32">
        <v>0.42155555555555507</v>
      </c>
    </row>
    <row r="125" spans="1:2" x14ac:dyDescent="0.25">
      <c r="A125" s="5">
        <v>1.885</v>
      </c>
      <c r="B125" s="32">
        <v>0.42175925925925889</v>
      </c>
    </row>
    <row r="126" spans="1:2" x14ac:dyDescent="0.25">
      <c r="A126" s="5">
        <v>1.946</v>
      </c>
      <c r="B126" s="32">
        <v>0.4219629629629626</v>
      </c>
    </row>
    <row r="127" spans="1:2" x14ac:dyDescent="0.25">
      <c r="A127" s="5">
        <v>2.0059999999999998</v>
      </c>
      <c r="B127" s="32">
        <v>0.42216332726168748</v>
      </c>
    </row>
    <row r="128" spans="1:2" x14ac:dyDescent="0.25">
      <c r="A128" s="5">
        <v>2.0670000000000002</v>
      </c>
      <c r="B128" s="32">
        <v>0.4223670309653913</v>
      </c>
    </row>
    <row r="129" spans="1:2" x14ac:dyDescent="0.25">
      <c r="A129" s="5">
        <v>2.1280000000000001</v>
      </c>
      <c r="B129" s="32">
        <v>0.42257073466909489</v>
      </c>
    </row>
    <row r="130" spans="1:2" x14ac:dyDescent="0.25">
      <c r="A130" s="5">
        <v>2.1890000000000001</v>
      </c>
      <c r="B130" s="32">
        <v>0.42277443837279849</v>
      </c>
    </row>
    <row r="131" spans="1:2" x14ac:dyDescent="0.25">
      <c r="A131" s="5">
        <v>2.25</v>
      </c>
      <c r="B131" s="32">
        <v>0.42297814207650219</v>
      </c>
    </row>
    <row r="132" spans="1:2" x14ac:dyDescent="0.25">
      <c r="A132" s="5">
        <v>2.31</v>
      </c>
      <c r="B132" s="32">
        <v>0.42317850637522719</v>
      </c>
    </row>
    <row r="133" spans="1:2" x14ac:dyDescent="0.25">
      <c r="A133" s="5">
        <v>2.371</v>
      </c>
      <c r="B133" s="32">
        <v>0.42338221007893101</v>
      </c>
    </row>
    <row r="134" spans="1:2" x14ac:dyDescent="0.25">
      <c r="A134" s="5">
        <v>2.4319999999999999</v>
      </c>
      <c r="B134" s="32">
        <v>0.4235433867075869</v>
      </c>
    </row>
    <row r="135" spans="1:2" x14ac:dyDescent="0.25">
      <c r="A135" s="5">
        <v>2.4929999999999999</v>
      </c>
      <c r="B135" s="32">
        <v>0.4236660231744806</v>
      </c>
    </row>
    <row r="136" spans="1:2" x14ac:dyDescent="0.25">
      <c r="A136" s="5">
        <v>2.5539999999999998</v>
      </c>
      <c r="B136" s="32">
        <v>0.42333914612146661</v>
      </c>
    </row>
    <row r="137" spans="1:2" x14ac:dyDescent="0.25">
      <c r="A137" s="5">
        <v>2.6139999999999999</v>
      </c>
      <c r="B137" s="32">
        <v>0.42296031268791268</v>
      </c>
    </row>
    <row r="138" spans="1:2" x14ac:dyDescent="0.25">
      <c r="A138" s="5">
        <v>2.6749999999999998</v>
      </c>
      <c r="B138" s="32">
        <v>0.42257516536380002</v>
      </c>
    </row>
    <row r="139" spans="1:2" x14ac:dyDescent="0.25">
      <c r="A139" s="5">
        <v>2.7360000000000002</v>
      </c>
      <c r="B139" s="32">
        <v>0.42219001803968698</v>
      </c>
    </row>
    <row r="140" spans="1:2" x14ac:dyDescent="0.25">
      <c r="A140" s="5">
        <v>2.7970000000000002</v>
      </c>
      <c r="B140" s="32">
        <v>0.42180487071557382</v>
      </c>
    </row>
    <row r="141" spans="1:2" x14ac:dyDescent="0.25">
      <c r="A141" s="5">
        <v>2.8580000000000001</v>
      </c>
      <c r="B141" s="32">
        <v>0.42141972339146061</v>
      </c>
    </row>
    <row r="142" spans="1:2" x14ac:dyDescent="0.25">
      <c r="A142" s="5">
        <v>2.9180000000000001</v>
      </c>
      <c r="B142" s="32">
        <v>0.42104088995790673</v>
      </c>
    </row>
    <row r="143" spans="1:2" x14ac:dyDescent="0.25">
      <c r="A143" s="5">
        <v>2.9790000000000001</v>
      </c>
      <c r="B143" s="32">
        <v>0.42065574263379368</v>
      </c>
    </row>
    <row r="144" spans="1:2" x14ac:dyDescent="0.25">
      <c r="A144" s="5">
        <v>3.04</v>
      </c>
      <c r="B144" s="32">
        <v>0.42027059530968058</v>
      </c>
    </row>
    <row r="145" spans="1:2" x14ac:dyDescent="0.25">
      <c r="A145" s="5">
        <v>3.101</v>
      </c>
      <c r="B145" s="32">
        <v>0.41988544798556737</v>
      </c>
    </row>
    <row r="146" spans="1:2" x14ac:dyDescent="0.25">
      <c r="A146" s="5">
        <v>3.1619999999999999</v>
      </c>
      <c r="B146" s="32">
        <v>0.41950030066145422</v>
      </c>
    </row>
    <row r="147" spans="1:2" x14ac:dyDescent="0.25">
      <c r="A147" s="5">
        <v>3.222</v>
      </c>
      <c r="B147" s="32">
        <v>0.41912146722790022</v>
      </c>
    </row>
    <row r="148" spans="1:2" x14ac:dyDescent="0.25">
      <c r="A148" s="5">
        <v>3.2829999999999999</v>
      </c>
      <c r="B148" s="32">
        <v>0.41873631990378701</v>
      </c>
    </row>
    <row r="149" spans="1:2" x14ac:dyDescent="0.25">
      <c r="A149" s="5">
        <v>3.3439999999999999</v>
      </c>
      <c r="B149" s="32">
        <v>0.41835117257967419</v>
      </c>
    </row>
    <row r="150" spans="1:2" x14ac:dyDescent="0.25">
      <c r="A150" s="5">
        <v>3.4049999999999998</v>
      </c>
      <c r="B150" s="32">
        <v>0.41796503131476881</v>
      </c>
    </row>
    <row r="151" spans="1:2" x14ac:dyDescent="0.25">
      <c r="A151" s="5">
        <v>3.4660000000000002</v>
      </c>
      <c r="B151" s="32">
        <v>0.417567757912985</v>
      </c>
    </row>
    <row r="152" spans="1:2" x14ac:dyDescent="0.25">
      <c r="A152" s="5">
        <v>3.5259999999999998</v>
      </c>
      <c r="B152" s="32">
        <v>0.41711244377811008</v>
      </c>
    </row>
    <row r="153" spans="1:2" x14ac:dyDescent="0.25">
      <c r="A153" s="5">
        <v>3.5870000000000002</v>
      </c>
      <c r="B153" s="32">
        <v>0.41656371814092852</v>
      </c>
    </row>
    <row r="154" spans="1:2" x14ac:dyDescent="0.25">
      <c r="A154" s="5">
        <v>3.6480000000000001</v>
      </c>
      <c r="B154" s="32">
        <v>0.41601499250374729</v>
      </c>
    </row>
    <row r="155" spans="1:2" x14ac:dyDescent="0.25">
      <c r="A155" s="5">
        <v>3.7090000000000001</v>
      </c>
      <c r="B155" s="32">
        <v>0.41546626686656618</v>
      </c>
    </row>
    <row r="156" spans="1:2" x14ac:dyDescent="0.25">
      <c r="A156" s="5">
        <v>3.77</v>
      </c>
      <c r="B156" s="32">
        <v>0.41491754122938462</v>
      </c>
    </row>
    <row r="157" spans="1:2" x14ac:dyDescent="0.25">
      <c r="A157" s="5">
        <v>3.83</v>
      </c>
      <c r="B157" s="32">
        <v>0.41437781109445188</v>
      </c>
    </row>
    <row r="158" spans="1:2" x14ac:dyDescent="0.25">
      <c r="A158" s="5">
        <v>3.891</v>
      </c>
      <c r="B158" s="32">
        <v>0.41382908545727032</v>
      </c>
    </row>
    <row r="159" spans="1:2" x14ac:dyDescent="0.25">
      <c r="A159" s="5">
        <v>3.952</v>
      </c>
      <c r="B159" s="32">
        <v>0.41328035982008893</v>
      </c>
    </row>
    <row r="160" spans="1:2" x14ac:dyDescent="0.25">
      <c r="A160" s="8">
        <v>4.0129999999999999</v>
      </c>
      <c r="B160" s="35">
        <v>0.41273163418290759</v>
      </c>
    </row>
  </sheetData>
  <sheetProtection algorithmName="SHA-512" hashValue="Cc3oOAzp7vdeQ6j+A1552K9sapLFJmOlzpuYUddMs/ENOIXhXH0TkHiA9nWLJn8U0wkYCFMDjcNZ2JLaWod31Q==" saltValue="VBZlFxh87MIE7rO47DGwNA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AH12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34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0.12999999999999989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0</v>
      </c>
      <c r="B41" s="6">
        <v>111.43318224307311</v>
      </c>
      <c r="C41" s="6">
        <f>111.433182243073 * $B$36 / 100</f>
        <v>111.43318224307301</v>
      </c>
      <c r="D41" s="6">
        <v>14.040333333333329</v>
      </c>
      <c r="E41" s="7">
        <f>14.0403333333333 * $B$36 / 100</f>
        <v>14.040333333333299</v>
      </c>
    </row>
    <row r="42" spans="1:5" x14ac:dyDescent="0.25">
      <c r="A42" s="5">
        <v>5</v>
      </c>
      <c r="B42" s="6">
        <v>112.0956013333568</v>
      </c>
      <c r="C42" s="6">
        <f>112.095601333356 * $B$36 / 100</f>
        <v>112.095601333356</v>
      </c>
      <c r="D42" s="6">
        <v>14.12379666666666</v>
      </c>
      <c r="E42" s="7">
        <f>14.1237966666666 * $B$36 / 100</f>
        <v>14.1237966666666</v>
      </c>
    </row>
    <row r="43" spans="1:5" x14ac:dyDescent="0.25">
      <c r="A43" s="5">
        <v>10</v>
      </c>
      <c r="B43" s="6">
        <v>112.7580204236406</v>
      </c>
      <c r="C43" s="6">
        <f>112.75802042364 * $B$36 / 100</f>
        <v>112.75802042364</v>
      </c>
      <c r="D43" s="6">
        <v>14.20726</v>
      </c>
      <c r="E43" s="7">
        <f>14.2072599999999 * $B$36 / 100</f>
        <v>14.2072599999999</v>
      </c>
    </row>
    <row r="44" spans="1:5" x14ac:dyDescent="0.25">
      <c r="A44" s="5">
        <v>15</v>
      </c>
      <c r="B44" s="6">
        <v>113.42043951392441</v>
      </c>
      <c r="C44" s="6">
        <f>113.420439513924 * $B$36 / 100</f>
        <v>113.42043951392399</v>
      </c>
      <c r="D44" s="6">
        <v>14.290723333333331</v>
      </c>
      <c r="E44" s="7">
        <f>14.2907233333333 * $B$36 / 100</f>
        <v>14.2907233333333</v>
      </c>
    </row>
    <row r="45" spans="1:5" x14ac:dyDescent="0.25">
      <c r="A45" s="5">
        <v>20</v>
      </c>
      <c r="B45" s="6">
        <v>114.0828586042082</v>
      </c>
      <c r="C45" s="6">
        <f>114.082858604208 * $B$36 / 100</f>
        <v>114.082858604208</v>
      </c>
      <c r="D45" s="6">
        <v>14.37418666666667</v>
      </c>
      <c r="E45" s="7">
        <f>14.3741866666666 * $B$36 / 100</f>
        <v>14.374186666666599</v>
      </c>
    </row>
    <row r="46" spans="1:5" x14ac:dyDescent="0.25">
      <c r="A46" s="5">
        <v>25</v>
      </c>
      <c r="B46" s="6">
        <v>114.745277694492</v>
      </c>
      <c r="C46" s="6">
        <f>114.745277694491 * $B$36 / 100</f>
        <v>114.74527769449099</v>
      </c>
      <c r="D46" s="6">
        <v>14.457649999999999</v>
      </c>
      <c r="E46" s="7">
        <f>14.4576499999999 * $B$36 / 100</f>
        <v>14.457649999999898</v>
      </c>
    </row>
    <row r="47" spans="1:5" x14ac:dyDescent="0.25">
      <c r="A47" s="5">
        <v>30</v>
      </c>
      <c r="B47" s="6">
        <v>115.40769678477569</v>
      </c>
      <c r="C47" s="6">
        <f>115.407696784775 * $B$36 / 100</f>
        <v>115.407696784775</v>
      </c>
      <c r="D47" s="6">
        <v>14.54111333333333</v>
      </c>
      <c r="E47" s="7">
        <f>14.5411133333333 * $B$36 / 100</f>
        <v>14.541113333333302</v>
      </c>
    </row>
    <row r="48" spans="1:5" x14ac:dyDescent="0.25">
      <c r="A48" s="5">
        <v>35</v>
      </c>
      <c r="B48" s="6">
        <v>116.0701158750595</v>
      </c>
      <c r="C48" s="6">
        <f>116.070115875059 * $B$36 / 100</f>
        <v>116.070115875059</v>
      </c>
      <c r="D48" s="6">
        <v>14.62457666666667</v>
      </c>
      <c r="E48" s="7">
        <f>14.6245766666666 * $B$36 / 100</f>
        <v>14.6245766666666</v>
      </c>
    </row>
    <row r="49" spans="1:18" x14ac:dyDescent="0.25">
      <c r="A49" s="5">
        <v>40</v>
      </c>
      <c r="B49" s="6">
        <v>116.73253496534331</v>
      </c>
      <c r="C49" s="6">
        <f>116.732534965343 * $B$36 / 100</f>
        <v>116.73253496534301</v>
      </c>
      <c r="D49" s="6">
        <v>14.70804</v>
      </c>
      <c r="E49" s="7">
        <f>14.7080399999999 * $B$36 / 100</f>
        <v>14.708039999999899</v>
      </c>
    </row>
    <row r="50" spans="1:18" x14ac:dyDescent="0.25">
      <c r="A50" s="5">
        <v>45</v>
      </c>
      <c r="B50" s="6">
        <v>117.3949540556271</v>
      </c>
      <c r="C50" s="6">
        <f>117.394954055627 * $B$36 / 100</f>
        <v>117.39495405562701</v>
      </c>
      <c r="D50" s="6">
        <v>14.791503333333329</v>
      </c>
      <c r="E50" s="7">
        <f>14.7915033333333 * $B$36 / 100</f>
        <v>14.791503333333299</v>
      </c>
    </row>
    <row r="51" spans="1:18" x14ac:dyDescent="0.25">
      <c r="A51" s="5">
        <v>50</v>
      </c>
      <c r="B51" s="6">
        <v>118.0573731459109</v>
      </c>
      <c r="C51" s="6">
        <f>118.05737314591 * $B$36 / 100</f>
        <v>118.05737314591001</v>
      </c>
      <c r="D51" s="6">
        <v>14.874966666666669</v>
      </c>
      <c r="E51" s="7">
        <f>14.8749666666666 * $B$36 / 100</f>
        <v>14.874966666666602</v>
      </c>
    </row>
    <row r="52" spans="1:18" x14ac:dyDescent="0.25">
      <c r="A52" s="5">
        <v>55</v>
      </c>
      <c r="B52" s="6">
        <v>118.71979223619461</v>
      </c>
      <c r="C52" s="6">
        <f>118.719792236194 * $B$36 / 100</f>
        <v>118.719792236194</v>
      </c>
      <c r="D52" s="6">
        <v>14.95843</v>
      </c>
      <c r="E52" s="7">
        <f>14.95843 * $B$36 / 100</f>
        <v>14.95843</v>
      </c>
    </row>
    <row r="53" spans="1:18" x14ac:dyDescent="0.25">
      <c r="A53" s="5">
        <v>60</v>
      </c>
      <c r="B53" s="6">
        <v>119.3822113264784</v>
      </c>
      <c r="C53" s="6">
        <f>119.382211326478 * $B$36 / 100</f>
        <v>119.38221132647799</v>
      </c>
      <c r="D53" s="6">
        <v>15.041893333333331</v>
      </c>
      <c r="E53" s="7">
        <f>15.0418933333333 * $B$36 / 100</f>
        <v>15.0418933333333</v>
      </c>
    </row>
    <row r="54" spans="1:18" x14ac:dyDescent="0.25">
      <c r="A54" s="5">
        <v>65</v>
      </c>
      <c r="B54" s="6">
        <v>120.0446304167622</v>
      </c>
      <c r="C54" s="6">
        <f>120.044630416762 * $B$36 / 100</f>
        <v>120.044630416762</v>
      </c>
      <c r="D54" s="6">
        <v>15.12535666666667</v>
      </c>
      <c r="E54" s="7">
        <f>15.1253566666666 * $B$36 / 100</f>
        <v>15.125356666666598</v>
      </c>
    </row>
    <row r="55" spans="1:18" x14ac:dyDescent="0.25">
      <c r="A55" s="5">
        <v>70</v>
      </c>
      <c r="B55" s="6">
        <v>120.70704950704599</v>
      </c>
      <c r="C55" s="6">
        <f>120.707049507045 * $B$36 / 100</f>
        <v>120.707049507045</v>
      </c>
      <c r="D55" s="6">
        <v>15.208819999999999</v>
      </c>
      <c r="E55" s="7">
        <f>15.20882 * $B$36 / 100</f>
        <v>15.208819999999998</v>
      </c>
    </row>
    <row r="56" spans="1:18" x14ac:dyDescent="0.25">
      <c r="A56" s="5">
        <v>75</v>
      </c>
      <c r="B56" s="6">
        <v>121.3694685973298</v>
      </c>
      <c r="C56" s="6">
        <f>121.369468597329 * $B$36 / 100</f>
        <v>121.36946859732899</v>
      </c>
      <c r="D56" s="6">
        <v>15.29228333333333</v>
      </c>
      <c r="E56" s="7">
        <f>15.2922833333333 * $B$36 / 100</f>
        <v>15.2922833333333</v>
      </c>
    </row>
    <row r="57" spans="1:18" x14ac:dyDescent="0.25">
      <c r="A57" s="8">
        <v>80</v>
      </c>
      <c r="B57" s="9">
        <v>122.03188768761351</v>
      </c>
      <c r="C57" s="9">
        <f>122.031887687613 * $B$36 / 100</f>
        <v>122.03188768761299</v>
      </c>
      <c r="D57" s="9">
        <v>15.375746666666659</v>
      </c>
      <c r="E57" s="10">
        <f>15.3757466666666 * $B$36 / 100</f>
        <v>15.375746666666601</v>
      </c>
    </row>
    <row r="59" spans="1:18" ht="28.9" customHeight="1" x14ac:dyDescent="0.5">
      <c r="A59" s="1" t="s">
        <v>23</v>
      </c>
      <c r="B59" s="1"/>
    </row>
    <row r="60" spans="1:18" x14ac:dyDescent="0.25">
      <c r="A60" s="21" t="s">
        <v>24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25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26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27</v>
      </c>
      <c r="B64" s="1"/>
    </row>
    <row r="65" spans="1:34" x14ac:dyDescent="0.25">
      <c r="A65" s="24" t="s">
        <v>28</v>
      </c>
      <c r="B65" s="25" t="s">
        <v>29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18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0</v>
      </c>
      <c r="B67" s="31">
        <v>6.5770653129488297</v>
      </c>
      <c r="C67" s="31">
        <v>5.8348074728163457</v>
      </c>
      <c r="D67" s="31">
        <v>5.173008165559307</v>
      </c>
      <c r="E67" s="31">
        <v>4.585372536488677</v>
      </c>
      <c r="F67" s="31">
        <v>4.0658621791321963</v>
      </c>
      <c r="G67" s="31">
        <v>3.6086951352344121</v>
      </c>
      <c r="H67" s="31">
        <v>3.2083458947566461</v>
      </c>
      <c r="I67" s="31">
        <v>2.8595453958770181</v>
      </c>
      <c r="J67" s="31">
        <v>2.5572810249904361</v>
      </c>
      <c r="K67" s="31">
        <v>2.2967966167085918</v>
      </c>
      <c r="L67" s="31">
        <v>2.073592453859975</v>
      </c>
      <c r="M67" s="31">
        <v>1.8834252674898599</v>
      </c>
      <c r="N67" s="31">
        <v>1.722308236860324</v>
      </c>
      <c r="O67" s="31">
        <v>1.5865109894502101</v>
      </c>
      <c r="P67" s="31">
        <v>1.472559600955164</v>
      </c>
      <c r="Q67" s="31">
        <v>1.37723659528763</v>
      </c>
      <c r="R67" s="31">
        <v>1.2975809445768249</v>
      </c>
      <c r="S67" s="31">
        <v>1.230888069168766</v>
      </c>
      <c r="T67" s="31">
        <v>1.174709837626265</v>
      </c>
      <c r="U67" s="31">
        <v>1.1268545667289069</v>
      </c>
      <c r="V67" s="31">
        <v>1.085387021473075</v>
      </c>
      <c r="W67" s="31">
        <v>1.0486284150719569</v>
      </c>
      <c r="X67" s="31">
        <v>1.015156408955513</v>
      </c>
      <c r="Y67" s="31">
        <v>0.98380511277047433</v>
      </c>
      <c r="Z67" s="31">
        <v>0.95366508438040065</v>
      </c>
      <c r="AA67" s="31">
        <v>0.92408332986565278</v>
      </c>
      <c r="AB67" s="31">
        <v>0.89466330352330947</v>
      </c>
      <c r="AC67" s="31">
        <v>0.8652649078672956</v>
      </c>
      <c r="AD67" s="31">
        <v>0.8360044936283304</v>
      </c>
      <c r="AE67" s="31">
        <v>0.80725485975389</v>
      </c>
      <c r="AF67" s="31">
        <v>0.77964525340826563</v>
      </c>
      <c r="AG67" s="31">
        <v>0.75406136997249384</v>
      </c>
      <c r="AH67" s="32">
        <v>0.73164535304450262</v>
      </c>
    </row>
    <row r="68" spans="1:34" x14ac:dyDescent="0.25">
      <c r="A68" s="30">
        <v>5</v>
      </c>
      <c r="B68" s="31">
        <v>6.6332161999456689</v>
      </c>
      <c r="C68" s="31">
        <v>5.8844938888018241</v>
      </c>
      <c r="D68" s="31">
        <v>5.2167493591812679</v>
      </c>
      <c r="E68" s="31">
        <v>4.6236670582118222</v>
      </c>
      <c r="F68" s="31">
        <v>4.0991878812381009</v>
      </c>
      <c r="G68" s="31">
        <v>3.6375091718215118</v>
      </c>
      <c r="H68" s="31">
        <v>3.2330847217402421</v>
      </c>
      <c r="I68" s="31">
        <v>2.8806247709892778</v>
      </c>
      <c r="J68" s="31">
        <v>2.5750960077803908</v>
      </c>
      <c r="K68" s="31">
        <v>2.3117215685421382</v>
      </c>
      <c r="L68" s="31">
        <v>2.0859810379198751</v>
      </c>
      <c r="M68" s="31">
        <v>1.893610448775743</v>
      </c>
      <c r="N68" s="31">
        <v>1.73060228218867</v>
      </c>
      <c r="O68" s="31">
        <v>1.593205467454389</v>
      </c>
      <c r="P68" s="31">
        <v>1.477925382085393</v>
      </c>
      <c r="Q68" s="31">
        <v>1.381523851810996</v>
      </c>
      <c r="R68" s="31">
        <v>1.301019150577283</v>
      </c>
      <c r="S68" s="31">
        <v>1.2336860005471311</v>
      </c>
      <c r="T68" s="31">
        <v>1.17705557210022</v>
      </c>
      <c r="U68" s="31">
        <v>1.128915483832998</v>
      </c>
      <c r="V68" s="31">
        <v>1.0873098025587249</v>
      </c>
      <c r="W68" s="31">
        <v>1.050539043307422</v>
      </c>
      <c r="X68" s="31">
        <v>1.017160169325948</v>
      </c>
      <c r="Y68" s="31">
        <v>0.98598659207789485</v>
      </c>
      <c r="Z68" s="31">
        <v>0.95608817124368017</v>
      </c>
      <c r="AA68" s="31">
        <v>0.92679121472051662</v>
      </c>
      <c r="AB68" s="31">
        <v>0.89767847862235528</v>
      </c>
      <c r="AC68" s="31">
        <v>0.86858916728000657</v>
      </c>
      <c r="AD68" s="31">
        <v>0.83961893324103098</v>
      </c>
      <c r="AE68" s="31">
        <v>0.81111987726978896</v>
      </c>
      <c r="AF68" s="31">
        <v>0.78370054834740466</v>
      </c>
      <c r="AG68" s="31">
        <v>0.75822594367182838</v>
      </c>
      <c r="AH68" s="32">
        <v>0.73581750865779583</v>
      </c>
    </row>
    <row r="69" spans="1:34" x14ac:dyDescent="0.25">
      <c r="A69" s="30">
        <v>10</v>
      </c>
      <c r="B69" s="31">
        <v>6.6899187335246628</v>
      </c>
      <c r="C69" s="31">
        <v>5.9346898551823193</v>
      </c>
      <c r="D69" s="31">
        <v>5.2609596775654142</v>
      </c>
      <c r="E69" s="31">
        <v>4.6623919496186321</v>
      </c>
      <c r="F69" s="31">
        <v>4.1329068685034471</v>
      </c>
      <c r="G69" s="31">
        <v>3.6666810795981299</v>
      </c>
      <c r="H69" s="31">
        <v>3.2581476764977428</v>
      </c>
      <c r="I69" s="31">
        <v>2.9019962010141289</v>
      </c>
      <c r="J69" s="31">
        <v>2.5931726431759259</v>
      </c>
      <c r="K69" s="31">
        <v>2.3268794412285621</v>
      </c>
      <c r="L69" s="31">
        <v>2.098575481634247</v>
      </c>
      <c r="M69" s="31">
        <v>1.9039760990719969</v>
      </c>
      <c r="N69" s="31">
        <v>1.739053076437608</v>
      </c>
      <c r="O69" s="31">
        <v>1.6000346448436571</v>
      </c>
      <c r="P69" s="31">
        <v>1.4834054836195301</v>
      </c>
      <c r="Q69" s="31">
        <v>1.3859067203113891</v>
      </c>
      <c r="R69" s="31">
        <v>1.3045359306821811</v>
      </c>
      <c r="S69" s="31">
        <v>1.236547138711664</v>
      </c>
      <c r="T69" s="31">
        <v>1.179450816596364</v>
      </c>
      <c r="U69" s="31">
        <v>1.131013884749613</v>
      </c>
      <c r="V69" s="31">
        <v>1.089259711801523</v>
      </c>
      <c r="W69" s="31">
        <v>1.052468114598994</v>
      </c>
      <c r="X69" s="31">
        <v>1.019175358205725</v>
      </c>
      <c r="Y69" s="31">
        <v>0.98817415590220048</v>
      </c>
      <c r="Z69" s="31">
        <v>0.95851366918567027</v>
      </c>
      <c r="AA69" s="31">
        <v>0.92949950777024914</v>
      </c>
      <c r="AB69" s="31">
        <v>0.90069372958673644</v>
      </c>
      <c r="AC69" s="31">
        <v>0.87191484078281467</v>
      </c>
      <c r="AD69" s="31">
        <v>0.84323779572289925</v>
      </c>
      <c r="AE69" s="31">
        <v>0.81499399698819319</v>
      </c>
      <c r="AF69" s="31">
        <v>0.78777129537676427</v>
      </c>
      <c r="AG69" s="31">
        <v>0.76241398990331888</v>
      </c>
      <c r="AH69" s="32">
        <v>0.74002282779954587</v>
      </c>
    </row>
    <row r="70" spans="1:34" x14ac:dyDescent="0.25">
      <c r="A70" s="30">
        <v>15</v>
      </c>
      <c r="B70" s="31">
        <v>6.747174544498618</v>
      </c>
      <c r="C70" s="31">
        <v>5.9853969393593092</v>
      </c>
      <c r="D70" s="31">
        <v>5.3056406247018861</v>
      </c>
      <c r="E70" s="31">
        <v>4.7015486512878999</v>
      </c>
      <c r="F70" s="31">
        <v>4.1670205180956881</v>
      </c>
      <c r="G70" s="31">
        <v>3.69621217232039</v>
      </c>
      <c r="H70" s="31">
        <v>3.283536009373929</v>
      </c>
      <c r="I70" s="31">
        <v>2.9236608728850149</v>
      </c>
      <c r="J70" s="31">
        <v>2.6115120546991522</v>
      </c>
      <c r="K70" s="31">
        <v>2.3422712948786271</v>
      </c>
      <c r="L70" s="31">
        <v>2.111376781702528</v>
      </c>
      <c r="M70" s="31">
        <v>1.914523151666724</v>
      </c>
      <c r="N70" s="31">
        <v>1.7476614894838769</v>
      </c>
      <c r="O70" s="31">
        <v>1.6069993280834369</v>
      </c>
      <c r="P70" s="31">
        <v>1.48900064861165</v>
      </c>
      <c r="Q70" s="31">
        <v>1.3903858804315421</v>
      </c>
      <c r="R70" s="31">
        <v>1.3081319011229271</v>
      </c>
      <c r="S70" s="31">
        <v>1.239472036482425</v>
      </c>
      <c r="T70" s="31">
        <v>1.181896060523435</v>
      </c>
      <c r="U70" s="31">
        <v>1.1331501954761429</v>
      </c>
      <c r="V70" s="31">
        <v>1.091237111787529</v>
      </c>
      <c r="W70" s="31">
        <v>1.054415928121367</v>
      </c>
      <c r="X70" s="31">
        <v>1.02120221135822</v>
      </c>
      <c r="Y70" s="31">
        <v>0.99036797659542208</v>
      </c>
      <c r="Z70" s="31">
        <v>0.96094168714710726</v>
      </c>
      <c r="AA70" s="31">
        <v>0.93220825454423395</v>
      </c>
      <c r="AB70" s="31">
        <v>0.90370903853449025</v>
      </c>
      <c r="AC70" s="31">
        <v>0.87524184708240682</v>
      </c>
      <c r="AD70" s="31">
        <v>0.84686093636927107</v>
      </c>
      <c r="AE70" s="31">
        <v>0.818877010793159</v>
      </c>
      <c r="AF70" s="31">
        <v>0.79185722296897154</v>
      </c>
      <c r="AG70" s="31">
        <v>0.7666251737283396</v>
      </c>
      <c r="AH70" s="32">
        <v>0.74426091211975631</v>
      </c>
    </row>
    <row r="71" spans="1:34" x14ac:dyDescent="0.25">
      <c r="A71" s="30">
        <v>20</v>
      </c>
      <c r="B71" s="31">
        <v>6.8049852660871579</v>
      </c>
      <c r="C71" s="31">
        <v>6.0366167111410753</v>
      </c>
      <c r="D71" s="31">
        <v>5.3507937069876306</v>
      </c>
      <c r="E71" s="31">
        <v>4.741138606205233</v>
      </c>
      <c r="F71" s="31">
        <v>4.2015302095890998</v>
      </c>
      <c r="G71" s="31">
        <v>3.7261037661512262</v>
      </c>
      <c r="H71" s="31">
        <v>3.3092509731203998</v>
      </c>
      <c r="I71" s="31">
        <v>2.9456199759421962</v>
      </c>
      <c r="J71" s="31">
        <v>2.6301153682789868</v>
      </c>
      <c r="K71" s="31">
        <v>2.3578981920099289</v>
      </c>
      <c r="L71" s="31">
        <v>2.1243859372309619</v>
      </c>
      <c r="M71" s="31">
        <v>1.925252542254829</v>
      </c>
      <c r="N71" s="31">
        <v>1.7564283936110581</v>
      </c>
      <c r="O71" s="31">
        <v>1.6141003260459661</v>
      </c>
      <c r="P71" s="31">
        <v>1.49471162252265</v>
      </c>
      <c r="Q71" s="31">
        <v>1.394962014221016</v>
      </c>
      <c r="R71" s="31">
        <v>1.311807680537741</v>
      </c>
      <c r="S71" s="31">
        <v>1.2424612490863041</v>
      </c>
      <c r="T71" s="31">
        <v>1.1843917956969761</v>
      </c>
      <c r="U71" s="31">
        <v>1.1353248444167989</v>
      </c>
      <c r="V71" s="31">
        <v>1.0932423675096259</v>
      </c>
      <c r="W71" s="31">
        <v>1.0563827854560961</v>
      </c>
      <c r="X71" s="31">
        <v>1.0232409669536331</v>
      </c>
      <c r="Y71" s="31">
        <v>0.99256822891642404</v>
      </c>
      <c r="Z71" s="31">
        <v>0.96337233647549758</v>
      </c>
      <c r="AA71" s="31">
        <v>0.93491750297866172</v>
      </c>
      <c r="AB71" s="31">
        <v>0.9067243899904549</v>
      </c>
      <c r="AC71" s="31">
        <v>0.87857010729230112</v>
      </c>
      <c r="AD71" s="31">
        <v>0.85048821288233212</v>
      </c>
      <c r="AE71" s="31">
        <v>0.8227687129755028</v>
      </c>
      <c r="AF71" s="31">
        <v>0.79595806200357444</v>
      </c>
      <c r="AG71" s="31">
        <v>0.77085916261502507</v>
      </c>
      <c r="AH71" s="32">
        <v>0.74853136567523393</v>
      </c>
    </row>
    <row r="72" spans="1:34" x14ac:dyDescent="0.25">
      <c r="A72" s="30">
        <v>25</v>
      </c>
      <c r="B72" s="31">
        <v>6.8633525339167374</v>
      </c>
      <c r="C72" s="31">
        <v>6.0883507427427306</v>
      </c>
      <c r="D72" s="31">
        <v>5.3964204332264174</v>
      </c>
      <c r="E72" s="31">
        <v>4.7811632597630771</v>
      </c>
      <c r="F72" s="31">
        <v>4.23643732496478</v>
      </c>
      <c r="G72" s="31">
        <v>3.7563571796603981</v>
      </c>
      <c r="H72" s="31">
        <v>3.3352938228955802</v>
      </c>
      <c r="I72" s="31">
        <v>2.967874701932764</v>
      </c>
      <c r="J72" s="31">
        <v>2.648983712251189</v>
      </c>
      <c r="K72" s="31">
        <v>2.3737611975468731</v>
      </c>
      <c r="L72" s="31">
        <v>2.1376039497326289</v>
      </c>
      <c r="M72" s="31">
        <v>1.936165208938061</v>
      </c>
      <c r="N72" s="31">
        <v>1.7653546635095589</v>
      </c>
      <c r="O72" s="31">
        <v>1.6213384500103041</v>
      </c>
      <c r="P72" s="31">
        <v>1.500539153220265</v>
      </c>
      <c r="Q72" s="31">
        <v>1.3996358061362151</v>
      </c>
      <c r="R72" s="31">
        <v>1.3155638899716799</v>
      </c>
      <c r="S72" s="31">
        <v>1.2455153341570151</v>
      </c>
      <c r="T72" s="31">
        <v>1.186938516339362</v>
      </c>
      <c r="U72" s="31">
        <v>1.137538262382616</v>
      </c>
      <c r="V72" s="31">
        <v>1.0952758463675121</v>
      </c>
      <c r="W72" s="31">
        <v>1.0583689905915321</v>
      </c>
      <c r="X72" s="31">
        <v>1.025291865568974</v>
      </c>
      <c r="Y72" s="31">
        <v>0.99477509003090392</v>
      </c>
      <c r="Z72" s="31">
        <v>0.96580573092520394</v>
      </c>
      <c r="AA72" s="31">
        <v>0.93762730341653888</v>
      </c>
      <c r="AB72" s="31">
        <v>0.90973977088633429</v>
      </c>
      <c r="AC72" s="31">
        <v>0.88189954493284239</v>
      </c>
      <c r="AD72" s="31">
        <v>0.85411948537109683</v>
      </c>
      <c r="AE72" s="31">
        <v>0.82666890023289963</v>
      </c>
      <c r="AF72" s="31">
        <v>0.80007354576687817</v>
      </c>
      <c r="AG72" s="31">
        <v>0.77511562643838516</v>
      </c>
      <c r="AH72" s="32">
        <v>0.75283379492966385</v>
      </c>
    </row>
    <row r="73" spans="1:34" x14ac:dyDescent="0.25">
      <c r="A73" s="30">
        <v>30</v>
      </c>
      <c r="B73" s="31">
        <v>6.9222779860206298</v>
      </c>
      <c r="C73" s="31">
        <v>6.1406006087862179</v>
      </c>
      <c r="D73" s="31">
        <v>5.4425223146288566</v>
      </c>
      <c r="E73" s="31">
        <v>4.8216240597606932</v>
      </c>
      <c r="F73" s="31">
        <v>4.2717432486106626</v>
      </c>
      <c r="G73" s="31">
        <v>3.7869737338245022</v>
      </c>
      <c r="H73" s="31">
        <v>3.3616658162647202</v>
      </c>
      <c r="I73" s="31">
        <v>2.990426245010632</v>
      </c>
      <c r="J73" s="31">
        <v>2.6681182173583311</v>
      </c>
      <c r="K73" s="31">
        <v>2.389861378820703</v>
      </c>
      <c r="L73" s="31">
        <v>2.1510318231274299</v>
      </c>
      <c r="M73" s="31">
        <v>1.9472620922249719</v>
      </c>
      <c r="N73" s="31">
        <v>1.7744411762765979</v>
      </c>
      <c r="O73" s="31">
        <v>1.62871451366234</v>
      </c>
      <c r="P73" s="31">
        <v>1.506483990979044</v>
      </c>
      <c r="Q73" s="31">
        <v>1.4044079430403309</v>
      </c>
      <c r="R73" s="31">
        <v>1.319401152876609</v>
      </c>
      <c r="S73" s="31">
        <v>1.248634851735104</v>
      </c>
      <c r="T73" s="31">
        <v>1.1895367190798041</v>
      </c>
      <c r="U73" s="31">
        <v>1.139790882591472</v>
      </c>
      <c r="V73" s="31">
        <v>1.0973379181677141</v>
      </c>
      <c r="W73" s="31">
        <v>1.0603748499228729</v>
      </c>
      <c r="X73" s="31">
        <v>1.027355150188122</v>
      </c>
      <c r="Y73" s="31">
        <v>0.99698873951138034</v>
      </c>
      <c r="Z73" s="31">
        <v>0.96824198665739325</v>
      </c>
      <c r="AA73" s="31">
        <v>0.94033770860770383</v>
      </c>
      <c r="AB73" s="31">
        <v>0.9127551705605832</v>
      </c>
      <c r="AC73" s="31">
        <v>0.8852300859311768</v>
      </c>
      <c r="AD73" s="31">
        <v>0.8577546163513714</v>
      </c>
      <c r="AE73" s="31">
        <v>0.83057737166982226</v>
      </c>
      <c r="AF73" s="31">
        <v>0.80420340995202722</v>
      </c>
      <c r="AG73" s="31">
        <v>0.77939423748021852</v>
      </c>
      <c r="AH73" s="32">
        <v>0.75716780875348266</v>
      </c>
    </row>
    <row r="74" spans="1:34" x14ac:dyDescent="0.25">
      <c r="A74" s="30">
        <v>35</v>
      </c>
      <c r="B74" s="31">
        <v>6.9817632628389328</v>
      </c>
      <c r="C74" s="31">
        <v>6.1933678863002921</v>
      </c>
      <c r="D74" s="31">
        <v>5.4891008648123663</v>
      </c>
      <c r="E74" s="31">
        <v>4.8625224564041627</v>
      </c>
      <c r="F74" s="31">
        <v>4.307449367321488</v>
      </c>
      <c r="G74" s="31">
        <v>3.8179547520269388</v>
      </c>
      <c r="H74" s="31">
        <v>3.3883682131998958</v>
      </c>
      <c r="I74" s="31">
        <v>3.013275801736532</v>
      </c>
      <c r="J74" s="31">
        <v>2.6875200167498101</v>
      </c>
      <c r="K74" s="31">
        <v>2.40619980556948</v>
      </c>
      <c r="L74" s="31">
        <v>2.1646705637420842</v>
      </c>
      <c r="M74" s="31">
        <v>1.958544135030956</v>
      </c>
      <c r="N74" s="31">
        <v>1.783688811416223</v>
      </c>
      <c r="O74" s="31">
        <v>1.6362293330947879</v>
      </c>
      <c r="P74" s="31">
        <v>1.512546888480353</v>
      </c>
      <c r="Q74" s="31">
        <v>1.4092791142034149</v>
      </c>
      <c r="R74" s="31">
        <v>1.323320095111248</v>
      </c>
      <c r="S74" s="31">
        <v>1.25182036426792</v>
      </c>
      <c r="T74" s="31">
        <v>1.192186902954308</v>
      </c>
      <c r="U74" s="31">
        <v>1.1420831406680441</v>
      </c>
      <c r="V74" s="31">
        <v>1.099428955123571</v>
      </c>
      <c r="W74" s="31">
        <v>1.062400672252124</v>
      </c>
      <c r="X74" s="31">
        <v>1.0294310662017261</v>
      </c>
      <c r="Y74" s="31">
        <v>0.99920935933718114</v>
      </c>
      <c r="Z74" s="31">
        <v>0.97068122224007225</v>
      </c>
      <c r="AA74" s="31">
        <v>0.94304877370882045</v>
      </c>
      <c r="AB74" s="31">
        <v>0.91577058075858064</v>
      </c>
      <c r="AC74" s="31">
        <v>0.88856165862131664</v>
      </c>
      <c r="AD74" s="31">
        <v>0.86139347074581329</v>
      </c>
      <c r="AE74" s="31">
        <v>0.83449392879760287</v>
      </c>
      <c r="AF74" s="31">
        <v>0.8083473926590159</v>
      </c>
      <c r="AG74" s="31">
        <v>0.78369467042917063</v>
      </c>
      <c r="AH74" s="32">
        <v>0.76153301842401411</v>
      </c>
    </row>
    <row r="75" spans="1:34" x14ac:dyDescent="0.25">
      <c r="A75" s="30">
        <v>40</v>
      </c>
      <c r="B75" s="31">
        <v>7.0418100072185572</v>
      </c>
      <c r="C75" s="31">
        <v>6.2466541547205292</v>
      </c>
      <c r="D75" s="31">
        <v>5.5361575998011823</v>
      </c>
      <c r="E75" s="31">
        <v>4.9038599023063894</v>
      </c>
      <c r="F75" s="31">
        <v>4.3435570702988224</v>
      </c>
      <c r="G75" s="31">
        <v>3.8493015600579419</v>
      </c>
      <c r="H75" s="31">
        <v>3.4154022760799951</v>
      </c>
      <c r="I75" s="31">
        <v>3.0364245710780171</v>
      </c>
      <c r="J75" s="31">
        <v>2.7071902459818391</v>
      </c>
      <c r="K75" s="31">
        <v>2.422777549938075</v>
      </c>
      <c r="L75" s="31">
        <v>2.1785211803101339</v>
      </c>
      <c r="M75" s="31">
        <v>1.970012282678214</v>
      </c>
      <c r="N75" s="31">
        <v>1.7930984508392951</v>
      </c>
      <c r="O75" s="31">
        <v>1.6438837268071691</v>
      </c>
      <c r="P75" s="31">
        <v>1.518728600812389</v>
      </c>
      <c r="Q75" s="31">
        <v>1.4142500113023111</v>
      </c>
      <c r="R75" s="31">
        <v>1.3273213449410839</v>
      </c>
      <c r="S75" s="31">
        <v>1.255072436609644</v>
      </c>
      <c r="T75" s="31">
        <v>1.1948895694057211</v>
      </c>
      <c r="U75" s="31">
        <v>1.1444154746438211</v>
      </c>
      <c r="V75" s="31">
        <v>1.1015493318552609</v>
      </c>
      <c r="W75" s="31">
        <v>1.064446768788111</v>
      </c>
      <c r="X75" s="31">
        <v>1.031519861407282</v>
      </c>
      <c r="Y75" s="31">
        <v>1.001437133894453</v>
      </c>
      <c r="Z75" s="31">
        <v>0.97312355864803735</v>
      </c>
      <c r="AA75" s="31">
        <v>0.94576055628335709</v>
      </c>
      <c r="AB75" s="31">
        <v>0.91878599563241736</v>
      </c>
      <c r="AC75" s="31">
        <v>0.89189419374405077</v>
      </c>
      <c r="AD75" s="31">
        <v>0.86503591588389406</v>
      </c>
      <c r="AE75" s="31">
        <v>0.83841837553435317</v>
      </c>
      <c r="AF75" s="31">
        <v>0.81250523439463884</v>
      </c>
      <c r="AG75" s="31">
        <v>0.78801660238068671</v>
      </c>
      <c r="AH75" s="32">
        <v>0.76592903762535891</v>
      </c>
    </row>
    <row r="76" spans="1:34" x14ac:dyDescent="0.25">
      <c r="A76" s="30">
        <v>45</v>
      </c>
      <c r="B76" s="31">
        <v>7.1024198644132479</v>
      </c>
      <c r="C76" s="31">
        <v>6.3004609958893374</v>
      </c>
      <c r="D76" s="31">
        <v>5.5836940380263727</v>
      </c>
      <c r="E76" s="31">
        <v>4.9456378524871054</v>
      </c>
      <c r="F76" s="31">
        <v>4.380067749151058</v>
      </c>
      <c r="G76" s="31">
        <v>3.8810154861145612</v>
      </c>
      <c r="H76" s="31">
        <v>3.4427692696907299</v>
      </c>
      <c r="I76" s="31">
        <v>3.059873754409467</v>
      </c>
      <c r="J76" s="31">
        <v>2.727130043017461</v>
      </c>
      <c r="K76" s="31">
        <v>2.4395956864781949</v>
      </c>
      <c r="L76" s="31">
        <v>2.192584683971941</v>
      </c>
      <c r="M76" s="31">
        <v>1.9816674828957641</v>
      </c>
      <c r="N76" s="31">
        <v>1.802670978863518</v>
      </c>
      <c r="O76" s="31">
        <v>1.651678515705838</v>
      </c>
      <c r="P76" s="31">
        <v>1.5250298854701589</v>
      </c>
      <c r="Q76" s="31">
        <v>1.4193213284207049</v>
      </c>
      <c r="R76" s="31">
        <v>1.3314055330384731</v>
      </c>
      <c r="S76" s="31">
        <v>1.258391636021283</v>
      </c>
      <c r="T76" s="31">
        <v>1.1976452222837171</v>
      </c>
      <c r="U76" s="31">
        <v>1.146788324957146</v>
      </c>
      <c r="V76" s="31">
        <v>1.1036994253897501</v>
      </c>
      <c r="W76" s="31">
        <v>1.0665134531464859</v>
      </c>
      <c r="X76" s="31">
        <v>1.033621786009123</v>
      </c>
      <c r="Y76" s="31">
        <v>1.003672249976173</v>
      </c>
      <c r="Z76" s="31">
        <v>0.97556911926296408</v>
      </c>
      <c r="AA76" s="31">
        <v>0.94847311630163167</v>
      </c>
      <c r="AB76" s="31">
        <v>0.92180141174107166</v>
      </c>
      <c r="AC76" s="31">
        <v>0.8952276244470031</v>
      </c>
      <c r="AD76" s="31">
        <v>0.86868182150189088</v>
      </c>
      <c r="AE76" s="31">
        <v>0.8423505182050165</v>
      </c>
      <c r="AF76" s="31">
        <v>0.81667667807247213</v>
      </c>
      <c r="AG76" s="31">
        <v>0.79235971283704754</v>
      </c>
      <c r="AH76" s="32">
        <v>0.77035548244847629</v>
      </c>
    </row>
    <row r="77" spans="1:34" x14ac:dyDescent="0.25">
      <c r="A77" s="30">
        <v>50</v>
      </c>
      <c r="B77" s="31">
        <v>7.1635944820835693</v>
      </c>
      <c r="C77" s="31">
        <v>6.3547899940559356</v>
      </c>
      <c r="D77" s="31">
        <v>5.6317117003258321</v>
      </c>
      <c r="E77" s="31">
        <v>4.9878577643728539</v>
      </c>
      <c r="F77" s="31">
        <v>4.4169827978934073</v>
      </c>
      <c r="G77" s="31">
        <v>3.9130978608006779</v>
      </c>
      <c r="H77" s="31">
        <v>3.470470461224648</v>
      </c>
      <c r="I77" s="31">
        <v>3.0836245555120829</v>
      </c>
      <c r="J77" s="31">
        <v>2.7473405482265432</v>
      </c>
      <c r="K77" s="31">
        <v>2.4566552921483669</v>
      </c>
      <c r="L77" s="31">
        <v>2.2068620882747041</v>
      </c>
      <c r="M77" s="31">
        <v>1.9935106858194711</v>
      </c>
      <c r="N77" s="31">
        <v>1.812407282213395</v>
      </c>
      <c r="O77" s="31">
        <v>1.6596145231039769</v>
      </c>
      <c r="P77" s="31">
        <v>1.5314515023555171</v>
      </c>
      <c r="Q77" s="31">
        <v>1.4244937620490929</v>
      </c>
      <c r="R77" s="31">
        <v>1.3355732924825849</v>
      </c>
      <c r="S77" s="31">
        <v>1.26177853217066</v>
      </c>
      <c r="T77" s="31">
        <v>1.2004543678447781</v>
      </c>
      <c r="U77" s="31">
        <v>1.1492021344531731</v>
      </c>
      <c r="V77" s="31">
        <v>1.1058796151608969</v>
      </c>
      <c r="W77" s="31">
        <v>1.0686010413497451</v>
      </c>
      <c r="X77" s="31">
        <v>1.0357370926183731</v>
      </c>
      <c r="Y77" s="31">
        <v>1.0059148967821481</v>
      </c>
      <c r="Z77" s="31">
        <v>0.97801802987327768</v>
      </c>
      <c r="AA77" s="31">
        <v>0.9511865161407691</v>
      </c>
      <c r="AB77" s="31">
        <v>0.92481682805035537</v>
      </c>
      <c r="AC77" s="31">
        <v>0.8985618862846213</v>
      </c>
      <c r="AD77" s="31">
        <v>0.87233105974291902</v>
      </c>
      <c r="AE77" s="31">
        <v>0.84629016554139758</v>
      </c>
      <c r="AF77" s="31">
        <v>0.82086146901298562</v>
      </c>
      <c r="AG77" s="31">
        <v>0.7967236837073699</v>
      </c>
      <c r="AH77" s="32">
        <v>0.77481197139112012</v>
      </c>
    </row>
    <row r="78" spans="1:34" x14ac:dyDescent="0.25">
      <c r="A78" s="30">
        <v>55</v>
      </c>
      <c r="B78" s="31">
        <v>7.2253355102969081</v>
      </c>
      <c r="C78" s="31">
        <v>6.4096427358763881</v>
      </c>
      <c r="D78" s="31">
        <v>5.6802121099442688</v>
      </c>
      <c r="E78" s="31">
        <v>5.0305210977970196</v>
      </c>
      <c r="F78" s="31">
        <v>4.4543036129479088</v>
      </c>
      <c r="G78" s="31">
        <v>3.9455500171269899</v>
      </c>
      <c r="H78" s="31">
        <v>3.498507120281106</v>
      </c>
      <c r="I78" s="31">
        <v>3.10767818057389</v>
      </c>
      <c r="J78" s="31">
        <v>2.7678229043857669</v>
      </c>
      <c r="K78" s="31">
        <v>2.4739574463139422</v>
      </c>
      <c r="L78" s="31">
        <v>2.221354409172426</v>
      </c>
      <c r="M78" s="31">
        <v>2.0055428439920049</v>
      </c>
      <c r="N78" s="31">
        <v>1.8223082500202701</v>
      </c>
      <c r="O78" s="31">
        <v>1.6676925747215809</v>
      </c>
      <c r="P78" s="31">
        <v>1.537994213777111</v>
      </c>
      <c r="Q78" s="31">
        <v>1.429768011084803</v>
      </c>
      <c r="R78" s="31">
        <v>1.3398252587593971</v>
      </c>
      <c r="S78" s="31">
        <v>1.2652336971324269</v>
      </c>
      <c r="T78" s="31">
        <v>1.203317514752215</v>
      </c>
      <c r="U78" s="31">
        <v>1.151657348383875</v>
      </c>
      <c r="V78" s="31">
        <v>1.1080902830092929</v>
      </c>
      <c r="W78" s="31">
        <v>1.070709851827168</v>
      </c>
      <c r="X78" s="31">
        <v>1.037866036252993</v>
      </c>
      <c r="Y78" s="31">
        <v>1.0081652659190199</v>
      </c>
      <c r="Z78" s="31">
        <v>0.98047041867430473</v>
      </c>
      <c r="AA78" s="31">
        <v>0.9539008205847106</v>
      </c>
      <c r="AB78" s="31">
        <v>0.92783224593286207</v>
      </c>
      <c r="AC78" s="31">
        <v>0.90189691721819221</v>
      </c>
      <c r="AD78" s="31">
        <v>0.87598350515694179</v>
      </c>
      <c r="AE78" s="31">
        <v>0.85023712868206802</v>
      </c>
      <c r="AF78" s="31">
        <v>0.82505935494344496</v>
      </c>
      <c r="AG78" s="31">
        <v>0.80110819930755661</v>
      </c>
      <c r="AH78" s="32">
        <v>0.7792981253578759</v>
      </c>
    </row>
    <row r="79" spans="1:34" x14ac:dyDescent="0.25">
      <c r="A79" s="30">
        <v>60</v>
      </c>
      <c r="B79" s="31">
        <v>7.2876446015274761</v>
      </c>
      <c r="C79" s="31">
        <v>6.465020810413554</v>
      </c>
      <c r="D79" s="31">
        <v>5.729196792533215</v>
      </c>
      <c r="E79" s="31">
        <v>5.0736293149997946</v>
      </c>
      <c r="F79" s="31">
        <v>4.4920315931434232</v>
      </c>
      <c r="G79" s="31">
        <v>3.9783732905110178</v>
      </c>
      <c r="H79" s="31">
        <v>3.5268805188662902</v>
      </c>
      <c r="I79" s="31">
        <v>3.1320358381897369</v>
      </c>
      <c r="J79" s="31">
        <v>2.7885782566786448</v>
      </c>
      <c r="K79" s="31">
        <v>2.491503230747095</v>
      </c>
      <c r="L79" s="31">
        <v>2.2360626650259472</v>
      </c>
      <c r="M79" s="31">
        <v>2.0177649123628658</v>
      </c>
      <c r="N79" s="31">
        <v>1.8323747738223011</v>
      </c>
      <c r="O79" s="31">
        <v>1.67591349868548</v>
      </c>
      <c r="P79" s="31">
        <v>1.544658784450432</v>
      </c>
      <c r="Q79" s="31">
        <v>1.435144776831982</v>
      </c>
      <c r="R79" s="31">
        <v>1.344162069761716</v>
      </c>
      <c r="S79" s="31">
        <v>1.268757705388057</v>
      </c>
      <c r="T79" s="31">
        <v>1.206235174076173</v>
      </c>
      <c r="U79" s="31">
        <v>1.154154414408034</v>
      </c>
      <c r="V79" s="31">
        <v>1.1103318131824329</v>
      </c>
      <c r="W79" s="31">
        <v>1.0728402054148909</v>
      </c>
      <c r="X79" s="31">
        <v>1.040008874337776</v>
      </c>
      <c r="Y79" s="31">
        <v>1.010423551400214</v>
      </c>
      <c r="Z79" s="31">
        <v>0.98292641626811794</v>
      </c>
      <c r="AA79" s="31">
        <v>0.95661609682423976</v>
      </c>
      <c r="AB79" s="31">
        <v>0.9308476691680313</v>
      </c>
      <c r="AC79" s="31">
        <v>0.90523265761582294</v>
      </c>
      <c r="AD79" s="31">
        <v>0.87963903470069127</v>
      </c>
      <c r="AE79" s="31">
        <v>0.85419122117249247</v>
      </c>
      <c r="AF79" s="31">
        <v>0.82927008599791918</v>
      </c>
      <c r="AG79" s="31">
        <v>0.80551294636038062</v>
      </c>
      <c r="AH79" s="32">
        <v>0.78381356766016808</v>
      </c>
    </row>
    <row r="80" spans="1:34" x14ac:dyDescent="0.25">
      <c r="A80" s="30">
        <v>65</v>
      </c>
      <c r="B80" s="31">
        <v>7.3505234106562938</v>
      </c>
      <c r="C80" s="31">
        <v>6.5209258091371289</v>
      </c>
      <c r="D80" s="31">
        <v>5.7786672761510287</v>
      </c>
      <c r="E80" s="31">
        <v>5.1171838806281986</v>
      </c>
      <c r="F80" s="31">
        <v>4.5301681397156246</v>
      </c>
      <c r="G80" s="31">
        <v>4.0115690187771058</v>
      </c>
      <c r="H80" s="31">
        <v>3.555591931393205</v>
      </c>
      <c r="I80" s="31">
        <v>3.1566987393612882</v>
      </c>
      <c r="J80" s="31">
        <v>2.8096077526955092</v>
      </c>
      <c r="K80" s="31">
        <v>2.5092937296268092</v>
      </c>
      <c r="L80" s="31">
        <v>2.250987876602919</v>
      </c>
      <c r="M80" s="31">
        <v>2.030177848288365</v>
      </c>
      <c r="N80" s="31">
        <v>1.8426077475644631</v>
      </c>
      <c r="O80" s="31">
        <v>1.6842781255293029</v>
      </c>
      <c r="P80" s="31">
        <v>1.551445981497789</v>
      </c>
      <c r="Q80" s="31">
        <v>1.440624763001596</v>
      </c>
      <c r="R80" s="31">
        <v>1.3485843657891869</v>
      </c>
      <c r="S80" s="31">
        <v>1.2723511338258351</v>
      </c>
      <c r="T80" s="31">
        <v>1.2092078592935991</v>
      </c>
      <c r="U80" s="31">
        <v>1.156693782591294</v>
      </c>
      <c r="V80" s="31">
        <v>1.112604592334572</v>
      </c>
      <c r="W80" s="31">
        <v>1.0749924253558389</v>
      </c>
      <c r="X80" s="31">
        <v>1.042165866704325</v>
      </c>
      <c r="Y80" s="31">
        <v>1.012689949646008</v>
      </c>
      <c r="Z80" s="31">
        <v>0.98538615566367427</v>
      </c>
      <c r="AA80" s="31">
        <v>0.9593324144569253</v>
      </c>
      <c r="AB80" s="31">
        <v>0.93386310394211247</v>
      </c>
      <c r="AC80" s="31">
        <v>0.90856905025239243</v>
      </c>
      <c r="AD80" s="31">
        <v>0.88329752773773518</v>
      </c>
      <c r="AE80" s="31">
        <v>0.85815225896486458</v>
      </c>
      <c r="AF80" s="31">
        <v>0.83349341471732097</v>
      </c>
      <c r="AG80" s="31">
        <v>0.8099376139953699</v>
      </c>
      <c r="AH80" s="32">
        <v>0.78835792401619309</v>
      </c>
    </row>
    <row r="81" spans="1:34" x14ac:dyDescent="0.25">
      <c r="A81" s="30">
        <v>70</v>
      </c>
      <c r="B81" s="31">
        <v>7.4139735949712309</v>
      </c>
      <c r="C81" s="31">
        <v>6.5773593259236298</v>
      </c>
      <c r="D81" s="31">
        <v>5.8286250912628894</v>
      </c>
      <c r="E81" s="31">
        <v>5.16118626173607</v>
      </c>
      <c r="F81" s="31">
        <v>4.5687146563070256</v>
      </c>
      <c r="G81" s="31">
        <v>4.0451385421564181</v>
      </c>
      <c r="H81" s="31">
        <v>3.5846426346816802</v>
      </c>
      <c r="I81" s="31">
        <v>3.1816680974970368</v>
      </c>
      <c r="J81" s="31">
        <v>2.830912542433512</v>
      </c>
      <c r="K81" s="31">
        <v>2.527330029538907</v>
      </c>
      <c r="L81" s="31">
        <v>2.2661310670778261</v>
      </c>
      <c r="M81" s="31">
        <v>2.042782611531647</v>
      </c>
      <c r="N81" s="31">
        <v>1.853008067598565</v>
      </c>
      <c r="O81" s="31">
        <v>1.6927872881935311</v>
      </c>
      <c r="P81" s="31">
        <v>1.5583565744483061</v>
      </c>
      <c r="Q81" s="31">
        <v>1.4462086757114401</v>
      </c>
      <c r="R81" s="31">
        <v>1.3530927895482541</v>
      </c>
      <c r="S81" s="31">
        <v>1.2760145617408929</v>
      </c>
      <c r="T81" s="31">
        <v>1.212236086288272</v>
      </c>
      <c r="U81" s="31">
        <v>1.1592759054060831</v>
      </c>
      <c r="V81" s="31">
        <v>1.114909009526825</v>
      </c>
      <c r="W81" s="31">
        <v>1.077166837299796</v>
      </c>
      <c r="X81" s="31">
        <v>1.0443372755910649</v>
      </c>
      <c r="Y81" s="31">
        <v>1.014964659483478</v>
      </c>
      <c r="Z81" s="31">
        <v>0.98784977227671789</v>
      </c>
      <c r="AA81" s="31">
        <v>0.96204984548721473</v>
      </c>
      <c r="AB81" s="31">
        <v>0.93687855884818927</v>
      </c>
      <c r="AC81" s="31">
        <v>0.91190604030969524</v>
      </c>
      <c r="AD81" s="31">
        <v>0.88695886603852969</v>
      </c>
      <c r="AE81" s="31">
        <v>0.86212006041828815</v>
      </c>
      <c r="AF81" s="31">
        <v>0.83772909604939028</v>
      </c>
      <c r="AG81" s="31">
        <v>0.81438189374896897</v>
      </c>
      <c r="AH81" s="32">
        <v>0.79293082255103919</v>
      </c>
    </row>
    <row r="82" spans="1:34" x14ac:dyDescent="0.25">
      <c r="A82" s="30">
        <v>75</v>
      </c>
      <c r="B82" s="31">
        <v>7.4779968141669464</v>
      </c>
      <c r="C82" s="31">
        <v>6.6343229570563942</v>
      </c>
      <c r="D82" s="31">
        <v>5.8790717707407936</v>
      </c>
      <c r="E82" s="31">
        <v>5.2056379277840694</v>
      </c>
      <c r="F82" s="31">
        <v>4.6076725489669466</v>
      </c>
      <c r="G82" s="31">
        <v>4.0790832032869426</v>
      </c>
      <c r="H82" s="31">
        <v>3.6140339079583641</v>
      </c>
      <c r="I82" s="31">
        <v>3.2069451284122938</v>
      </c>
      <c r="J82" s="31">
        <v>2.852493778296628</v>
      </c>
      <c r="K82" s="31">
        <v>2.5456132194760279</v>
      </c>
      <c r="L82" s="31">
        <v>2.281493262031963</v>
      </c>
      <c r="M82" s="31">
        <v>2.055580164262683</v>
      </c>
      <c r="N82" s="31">
        <v>1.8635766326832339</v>
      </c>
      <c r="O82" s="31">
        <v>1.701441822025443</v>
      </c>
      <c r="P82" s="31">
        <v>1.5653913352379329</v>
      </c>
      <c r="Q82" s="31">
        <v>1.451897223486122</v>
      </c>
      <c r="R82" s="31">
        <v>1.357687986152198</v>
      </c>
      <c r="S82" s="31">
        <v>1.2797485708351639</v>
      </c>
      <c r="T82" s="31">
        <v>1.215320373350794</v>
      </c>
      <c r="U82" s="31">
        <v>1.161901237731662</v>
      </c>
      <c r="V82" s="31">
        <v>1.117245456227133</v>
      </c>
      <c r="W82" s="31">
        <v>1.07936376930334</v>
      </c>
      <c r="X82" s="31">
        <v>1.0465233656432531</v>
      </c>
      <c r="Y82" s="31">
        <v>1.0172478821465749</v>
      </c>
      <c r="Z82" s="31">
        <v>0.99031740392981826</v>
      </c>
      <c r="AA82" s="31">
        <v>0.96476846432632768</v>
      </c>
      <c r="AB82" s="31">
        <v>0.93989404488617379</v>
      </c>
      <c r="AC82" s="31">
        <v>0.915243575376255</v>
      </c>
      <c r="AD82" s="31">
        <v>0.89062293378025337</v>
      </c>
      <c r="AE82" s="31">
        <v>0.86609444629862864</v>
      </c>
      <c r="AF82" s="31">
        <v>0.84197688734866105</v>
      </c>
      <c r="AG82" s="31">
        <v>0.81884547956434528</v>
      </c>
      <c r="AH82" s="32">
        <v>0.7975318937965632</v>
      </c>
    </row>
    <row r="83" spans="1:34" x14ac:dyDescent="0.25">
      <c r="A83" s="33">
        <v>80</v>
      </c>
      <c r="B83" s="34">
        <v>7.5425947303449554</v>
      </c>
      <c r="C83" s="34">
        <v>6.6918183012255907</v>
      </c>
      <c r="D83" s="34">
        <v>5.9300088498635741</v>
      </c>
      <c r="E83" s="34">
        <v>5.250540350639695</v>
      </c>
      <c r="F83" s="34">
        <v>4.6470432261515429</v>
      </c>
      <c r="G83" s="34">
        <v>4.1134043472134998</v>
      </c>
      <c r="H83" s="34">
        <v>3.6437670328567351</v>
      </c>
      <c r="I83" s="34">
        <v>3.232531050329206</v>
      </c>
      <c r="J83" s="34">
        <v>2.874352615095662</v>
      </c>
      <c r="K83" s="34">
        <v>2.5641443908376371</v>
      </c>
      <c r="L83" s="34">
        <v>2.2970754894534582</v>
      </c>
      <c r="M83" s="34">
        <v>2.0685714710582479</v>
      </c>
      <c r="N83" s="34">
        <v>1.8743143439839209</v>
      </c>
      <c r="O83" s="34">
        <v>1.710242564779157</v>
      </c>
      <c r="P83" s="34">
        <v>1.572551038209451</v>
      </c>
      <c r="Q83" s="34">
        <v>1.4576911172570819</v>
      </c>
      <c r="R83" s="34">
        <v>1.362370603121114</v>
      </c>
      <c r="S83" s="34">
        <v>1.2835537452174011</v>
      </c>
      <c r="T83" s="34">
        <v>1.2184612411785949</v>
      </c>
      <c r="U83" s="34">
        <v>1.164570236854122</v>
      </c>
      <c r="V83" s="34">
        <v>1.1196143263102221</v>
      </c>
      <c r="W83" s="34">
        <v>1.081583551829892</v>
      </c>
      <c r="X83" s="34">
        <v>1.04872440391296</v>
      </c>
      <c r="Y83" s="34">
        <v>1.0195398212760021</v>
      </c>
      <c r="Z83" s="34">
        <v>0.99278919085239159</v>
      </c>
      <c r="AA83" s="34">
        <v>0.96748834779234383</v>
      </c>
      <c r="AB83" s="34">
        <v>0.94290957546277454</v>
      </c>
      <c r="AC83" s="34">
        <v>0.91858160544747847</v>
      </c>
      <c r="AD83" s="34">
        <v>0.89428961754699521</v>
      </c>
      <c r="AE83" s="34">
        <v>0.87007523977861867</v>
      </c>
      <c r="AF83" s="34">
        <v>0.84623654837652418</v>
      </c>
      <c r="AG83" s="34">
        <v>0.82332806779155732</v>
      </c>
      <c r="AH83" s="35">
        <v>0.8021607706915006</v>
      </c>
    </row>
    <row r="86" spans="1:34" ht="28.9" customHeight="1" x14ac:dyDescent="0.5">
      <c r="A86" s="1" t="s">
        <v>30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31</v>
      </c>
      <c r="B89" s="6">
        <v>4</v>
      </c>
      <c r="C89" s="6" t="s">
        <v>11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32</v>
      </c>
      <c r="B93" s="23" t="s">
        <v>33</v>
      </c>
    </row>
    <row r="94" spans="1:34" x14ac:dyDescent="0.25">
      <c r="A94" s="5">
        <v>0</v>
      </c>
      <c r="B94" s="32">
        <v>0</v>
      </c>
    </row>
    <row r="95" spans="1:34" x14ac:dyDescent="0.25">
      <c r="A95" s="5">
        <v>0.125</v>
      </c>
      <c r="B95" s="32">
        <v>-9.4142827238551108E-2</v>
      </c>
    </row>
    <row r="96" spans="1:34" x14ac:dyDescent="0.25">
      <c r="A96" s="5">
        <v>0.25</v>
      </c>
      <c r="B96" s="32">
        <v>-0.1791095097402598</v>
      </c>
    </row>
    <row r="97" spans="1:2" x14ac:dyDescent="0.25">
      <c r="A97" s="5">
        <v>0.375</v>
      </c>
      <c r="B97" s="32">
        <v>-0.1890589400684933</v>
      </c>
    </row>
    <row r="98" spans="1:2" x14ac:dyDescent="0.25">
      <c r="A98" s="5">
        <v>0.5</v>
      </c>
      <c r="B98" s="32">
        <v>-0.2091373239436618</v>
      </c>
    </row>
    <row r="99" spans="1:2" x14ac:dyDescent="0.25">
      <c r="A99" s="5">
        <v>0.625</v>
      </c>
      <c r="B99" s="32">
        <v>0.33489571108020127</v>
      </c>
    </row>
    <row r="100" spans="1:2" x14ac:dyDescent="0.25">
      <c r="A100" s="5">
        <v>0.75</v>
      </c>
      <c r="B100" s="32">
        <v>0.5096658232473894</v>
      </c>
    </row>
    <row r="101" spans="1:2" x14ac:dyDescent="0.25">
      <c r="A101" s="5">
        <v>0.875</v>
      </c>
      <c r="B101" s="32">
        <v>0.53473921300516558</v>
      </c>
    </row>
    <row r="102" spans="1:2" x14ac:dyDescent="0.25">
      <c r="A102" s="5">
        <v>1</v>
      </c>
      <c r="B102" s="32">
        <v>0.40999027651169828</v>
      </c>
    </row>
    <row r="103" spans="1:2" x14ac:dyDescent="0.25">
      <c r="A103" s="5">
        <v>1.125</v>
      </c>
      <c r="B103" s="32">
        <v>0.76556050263729436</v>
      </c>
    </row>
    <row r="104" spans="1:2" x14ac:dyDescent="0.25">
      <c r="A104" s="5">
        <v>1.25</v>
      </c>
      <c r="B104" s="32">
        <v>0.6472258765125658</v>
      </c>
    </row>
    <row r="105" spans="1:2" x14ac:dyDescent="0.25">
      <c r="A105" s="5">
        <v>1.375</v>
      </c>
      <c r="B105" s="32">
        <v>0.52889125038783724</v>
      </c>
    </row>
    <row r="106" spans="1:2" x14ac:dyDescent="0.25">
      <c r="A106" s="5">
        <v>1.5</v>
      </c>
      <c r="B106" s="32">
        <v>0.4204735883424402</v>
      </c>
    </row>
    <row r="107" spans="1:2" x14ac:dyDescent="0.25">
      <c r="A107" s="5">
        <v>1.625</v>
      </c>
      <c r="B107" s="32">
        <v>0.42089101396478401</v>
      </c>
    </row>
    <row r="108" spans="1:2" x14ac:dyDescent="0.25">
      <c r="A108" s="5">
        <v>1.75</v>
      </c>
      <c r="B108" s="32">
        <v>0.42130843958712771</v>
      </c>
    </row>
    <row r="109" spans="1:2" x14ac:dyDescent="0.25">
      <c r="A109" s="5">
        <v>1.875</v>
      </c>
      <c r="B109" s="32">
        <v>0.42172586520947142</v>
      </c>
    </row>
    <row r="110" spans="1:2" x14ac:dyDescent="0.25">
      <c r="A110" s="5">
        <v>2</v>
      </c>
      <c r="B110" s="32">
        <v>0.42214329083181501</v>
      </c>
    </row>
    <row r="111" spans="1:2" x14ac:dyDescent="0.25">
      <c r="A111" s="5">
        <v>2.125</v>
      </c>
      <c r="B111" s="32">
        <v>0.42256071645415871</v>
      </c>
    </row>
    <row r="112" spans="1:2" x14ac:dyDescent="0.25">
      <c r="A112" s="5">
        <v>2.25</v>
      </c>
      <c r="B112" s="32">
        <v>0.42297814207650219</v>
      </c>
    </row>
    <row r="113" spans="1:2" x14ac:dyDescent="0.25">
      <c r="A113" s="5">
        <v>2.375</v>
      </c>
      <c r="B113" s="32">
        <v>0.42339556769884601</v>
      </c>
    </row>
    <row r="114" spans="1:2" x14ac:dyDescent="0.25">
      <c r="A114" s="5">
        <v>2.5</v>
      </c>
      <c r="B114" s="32">
        <v>0.42368009621166508</v>
      </c>
    </row>
    <row r="115" spans="1:2" x14ac:dyDescent="0.25">
      <c r="A115" s="5">
        <v>2.625</v>
      </c>
      <c r="B115" s="32">
        <v>0.42289085989176117</v>
      </c>
    </row>
    <row r="116" spans="1:2" x14ac:dyDescent="0.25">
      <c r="A116" s="5">
        <v>2.75</v>
      </c>
      <c r="B116" s="32">
        <v>0.42210162357185782</v>
      </c>
    </row>
    <row r="117" spans="1:2" x14ac:dyDescent="0.25">
      <c r="A117" s="5">
        <v>2.875</v>
      </c>
      <c r="B117" s="32">
        <v>0.42131238725195358</v>
      </c>
    </row>
    <row r="118" spans="1:2" x14ac:dyDescent="0.25">
      <c r="A118" s="5">
        <v>3</v>
      </c>
      <c r="B118" s="32">
        <v>0.42052315093204989</v>
      </c>
    </row>
    <row r="119" spans="1:2" x14ac:dyDescent="0.25">
      <c r="A119" s="5">
        <v>3.125</v>
      </c>
      <c r="B119" s="32">
        <v>0.41973391461214582</v>
      </c>
    </row>
    <row r="120" spans="1:2" x14ac:dyDescent="0.25">
      <c r="A120" s="5">
        <v>3.25</v>
      </c>
      <c r="B120" s="32">
        <v>0.41894467829224169</v>
      </c>
    </row>
    <row r="121" spans="1:2" x14ac:dyDescent="0.25">
      <c r="A121" s="5">
        <v>3.375</v>
      </c>
      <c r="B121" s="32">
        <v>0.41815544197233823</v>
      </c>
    </row>
    <row r="122" spans="1:2" x14ac:dyDescent="0.25">
      <c r="A122" s="5">
        <v>3.5</v>
      </c>
      <c r="B122" s="32">
        <v>0.41734632683658091</v>
      </c>
    </row>
    <row r="123" spans="1:2" x14ac:dyDescent="0.25">
      <c r="A123" s="5">
        <v>3.625</v>
      </c>
      <c r="B123" s="32">
        <v>0.41622188905547131</v>
      </c>
    </row>
    <row r="124" spans="1:2" x14ac:dyDescent="0.25">
      <c r="A124" s="5">
        <v>3.75</v>
      </c>
      <c r="B124" s="32">
        <v>0.41509745127436221</v>
      </c>
    </row>
    <row r="125" spans="1:2" x14ac:dyDescent="0.25">
      <c r="A125" s="5">
        <v>3.875</v>
      </c>
      <c r="B125" s="32">
        <v>0.41397301349325227</v>
      </c>
    </row>
    <row r="126" spans="1:2" x14ac:dyDescent="0.25">
      <c r="A126" s="8">
        <v>4</v>
      </c>
      <c r="B126" s="35">
        <v>0.41284857571214301</v>
      </c>
    </row>
  </sheetData>
  <sheetProtection algorithmName="SHA-512" hashValue="zz5HdPSr1U8QOBeLB54beSm9wwdml0cLbvhHHhjBVg28IHHggH2HLBB1jgs1H5V0g/9JLnS0q5s16lBjQ9Klwg==" saltValue="M9tz0+udmgv3vrfd6pv7vQ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R56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35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0.12999999999999989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0</v>
      </c>
      <c r="B41" s="6">
        <v>111.43318224307311</v>
      </c>
      <c r="C41" s="6">
        <f>111.433182243073 * $B$36 / 100</f>
        <v>111.43318224307301</v>
      </c>
      <c r="D41" s="6">
        <v>14.040333333333329</v>
      </c>
      <c r="E41" s="7">
        <f>14.0403333333333 * $B$36 / 100</f>
        <v>14.040333333333299</v>
      </c>
    </row>
    <row r="42" spans="1:5" x14ac:dyDescent="0.25">
      <c r="A42" s="5">
        <v>10</v>
      </c>
      <c r="B42" s="6">
        <v>112.7580204236406</v>
      </c>
      <c r="C42" s="6">
        <f>112.75802042364 * $B$36 / 100</f>
        <v>112.75802042364</v>
      </c>
      <c r="D42" s="6">
        <v>14.20726</v>
      </c>
      <c r="E42" s="7">
        <f>14.2072599999999 * $B$36 / 100</f>
        <v>14.2072599999999</v>
      </c>
    </row>
    <row r="43" spans="1:5" x14ac:dyDescent="0.25">
      <c r="A43" s="5">
        <v>20</v>
      </c>
      <c r="B43" s="6">
        <v>114.0828586042082</v>
      </c>
      <c r="C43" s="6">
        <f>114.082858604208 * $B$36 / 100</f>
        <v>114.082858604208</v>
      </c>
      <c r="D43" s="6">
        <v>14.37418666666667</v>
      </c>
      <c r="E43" s="7">
        <f>14.3741866666666 * $B$36 / 100</f>
        <v>14.374186666666599</v>
      </c>
    </row>
    <row r="44" spans="1:5" x14ac:dyDescent="0.25">
      <c r="A44" s="5">
        <v>30</v>
      </c>
      <c r="B44" s="6">
        <v>115.40769678477569</v>
      </c>
      <c r="C44" s="6">
        <f>115.407696784775 * $B$36 / 100</f>
        <v>115.407696784775</v>
      </c>
      <c r="D44" s="6">
        <v>14.54111333333333</v>
      </c>
      <c r="E44" s="7">
        <f>14.5411133333333 * $B$36 / 100</f>
        <v>14.541113333333302</v>
      </c>
    </row>
    <row r="45" spans="1:5" x14ac:dyDescent="0.25">
      <c r="A45" s="5">
        <v>40</v>
      </c>
      <c r="B45" s="6">
        <v>116.73253496534331</v>
      </c>
      <c r="C45" s="6">
        <f>116.732534965343 * $B$36 / 100</f>
        <v>116.73253496534301</v>
      </c>
      <c r="D45" s="6">
        <v>14.70804</v>
      </c>
      <c r="E45" s="7">
        <f>14.7080399999999 * $B$36 / 100</f>
        <v>14.708039999999899</v>
      </c>
    </row>
    <row r="46" spans="1:5" x14ac:dyDescent="0.25">
      <c r="A46" s="5">
        <v>50</v>
      </c>
      <c r="B46" s="6">
        <v>118.0573731459109</v>
      </c>
      <c r="C46" s="6">
        <f>118.05737314591 * $B$36 / 100</f>
        <v>118.05737314591001</v>
      </c>
      <c r="D46" s="6">
        <v>14.874966666666669</v>
      </c>
      <c r="E46" s="7">
        <f>14.8749666666666 * $B$36 / 100</f>
        <v>14.874966666666602</v>
      </c>
    </row>
    <row r="47" spans="1:5" x14ac:dyDescent="0.25">
      <c r="A47" s="5">
        <v>60</v>
      </c>
      <c r="B47" s="6">
        <v>119.3822113264784</v>
      </c>
      <c r="C47" s="6">
        <f>119.382211326478 * $B$36 / 100</f>
        <v>119.38221132647799</v>
      </c>
      <c r="D47" s="6">
        <v>15.041893333333331</v>
      </c>
      <c r="E47" s="7">
        <f>15.0418933333333 * $B$36 / 100</f>
        <v>15.0418933333333</v>
      </c>
    </row>
    <row r="48" spans="1:5" x14ac:dyDescent="0.25">
      <c r="A48" s="5">
        <v>70</v>
      </c>
      <c r="B48" s="6">
        <v>120.70704950704599</v>
      </c>
      <c r="C48" s="6">
        <f>120.707049507045 * $B$36 / 100</f>
        <v>120.707049507045</v>
      </c>
      <c r="D48" s="6">
        <v>15.208819999999999</v>
      </c>
      <c r="E48" s="7">
        <f>15.20882 * $B$36 / 100</f>
        <v>15.208819999999998</v>
      </c>
    </row>
    <row r="49" spans="1:18" x14ac:dyDescent="0.25">
      <c r="A49" s="5">
        <v>80</v>
      </c>
      <c r="B49" s="6">
        <v>122.03188768761351</v>
      </c>
      <c r="C49" s="6">
        <f>122.031887687613 * $B$36 / 100</f>
        <v>122.03188768761299</v>
      </c>
      <c r="D49" s="6">
        <v>15.375746666666659</v>
      </c>
      <c r="E49" s="7">
        <f>15.3757466666666 * $B$36 / 100</f>
        <v>15.375746666666601</v>
      </c>
    </row>
    <row r="50" spans="1:18" x14ac:dyDescent="0.25">
      <c r="A50" s="5">
        <v>90</v>
      </c>
      <c r="B50" s="6">
        <v>123.3567258681811</v>
      </c>
      <c r="C50" s="6">
        <f>123.356725868181 * $B$36 / 100</f>
        <v>123.356725868181</v>
      </c>
      <c r="D50" s="6">
        <v>15.54267333333333</v>
      </c>
      <c r="E50" s="7">
        <f>15.5426733333333 * $B$36 / 100</f>
        <v>15.542673333333301</v>
      </c>
    </row>
    <row r="51" spans="1:18" x14ac:dyDescent="0.25">
      <c r="A51" s="8">
        <v>100</v>
      </c>
      <c r="B51" s="9">
        <v>124.6815640487487</v>
      </c>
      <c r="C51" s="9">
        <f>124.681564048748 * $B$36 / 100</f>
        <v>124.681564048748</v>
      </c>
      <c r="D51" s="9">
        <v>15.7096</v>
      </c>
      <c r="E51" s="10">
        <f>15.7096 * $B$36 / 100</f>
        <v>15.7096</v>
      </c>
    </row>
    <row r="53" spans="1:18" ht="28.9" customHeight="1" x14ac:dyDescent="0.5">
      <c r="A53" s="1" t="s">
        <v>23</v>
      </c>
      <c r="B53" s="1"/>
    </row>
    <row r="54" spans="1:18" x14ac:dyDescent="0.25">
      <c r="A54" s="21" t="s">
        <v>24</v>
      </c>
      <c r="B54" s="22">
        <v>0</v>
      </c>
      <c r="C54" s="22">
        <v>6.25</v>
      </c>
      <c r="D54" s="22">
        <v>12.5</v>
      </c>
      <c r="E54" s="22">
        <v>18.75</v>
      </c>
      <c r="F54" s="22">
        <v>25</v>
      </c>
      <c r="G54" s="22">
        <v>31.25</v>
      </c>
      <c r="H54" s="22">
        <v>37.5</v>
      </c>
      <c r="I54" s="22">
        <v>43.75</v>
      </c>
      <c r="J54" s="22">
        <v>50</v>
      </c>
      <c r="K54" s="22">
        <v>56.25</v>
      </c>
      <c r="L54" s="22">
        <v>62.5</v>
      </c>
      <c r="M54" s="22">
        <v>68.75</v>
      </c>
      <c r="N54" s="22">
        <v>75</v>
      </c>
      <c r="O54" s="22">
        <v>81.25</v>
      </c>
      <c r="P54" s="22">
        <v>87.5</v>
      </c>
      <c r="Q54" s="22">
        <v>93.75</v>
      </c>
      <c r="R54" s="23">
        <v>100</v>
      </c>
    </row>
    <row r="55" spans="1:18" x14ac:dyDescent="0.25">
      <c r="A55" s="5" t="s">
        <v>25</v>
      </c>
      <c r="B55" s="6">
        <f>0 * $B$38 + (1 - 0) * $B$37</f>
        <v>14.7</v>
      </c>
      <c r="C55" s="6">
        <f>0.0625 * $B$38 + (1 - 0.0625) * $B$37</f>
        <v>14.344250000000001</v>
      </c>
      <c r="D55" s="6">
        <f>0.125 * $B$38 + (1 - 0.125) * $B$37</f>
        <v>13.988499999999998</v>
      </c>
      <c r="E55" s="6">
        <f>0.1875 * $B$38 + (1 - 0.1875) * $B$37</f>
        <v>13.63275</v>
      </c>
      <c r="F55" s="6">
        <f>0.25 * $B$38 + (1 - 0.25) * $B$37</f>
        <v>13.276999999999997</v>
      </c>
      <c r="G55" s="6">
        <f>0.3125 * $B$38 + (1 - 0.3125) * $B$37</f>
        <v>12.921249999999999</v>
      </c>
      <c r="H55" s="6">
        <f>0.375 * $B$38 + (1 - 0.375) * $B$37</f>
        <v>12.5655</v>
      </c>
      <c r="I55" s="6">
        <f>0.4375 * $B$38 + (1 - 0.4375) * $B$37</f>
        <v>12.20975</v>
      </c>
      <c r="J55" s="6">
        <f>0.5 * $B$38 + (1 - 0.5) * $B$37</f>
        <v>11.853999999999999</v>
      </c>
      <c r="K55" s="6">
        <f>0.5625 * $B$38 + (1 - 0.5625) * $B$37</f>
        <v>11.498249999999999</v>
      </c>
      <c r="L55" s="6">
        <f>0.625 * $B$38 + (1 - 0.625) * $B$37</f>
        <v>11.142499999999998</v>
      </c>
      <c r="M55" s="6">
        <f>0.6875 * $B$38 + (1 - 0.6875) * $B$37</f>
        <v>10.78675</v>
      </c>
      <c r="N55" s="6">
        <f>0.75 * $B$38 + (1 - 0.75) * $B$37</f>
        <v>10.430999999999999</v>
      </c>
      <c r="O55" s="6">
        <f>0.8125 * $B$38 + (1 - 0.8125) * $B$37</f>
        <v>10.075249999999999</v>
      </c>
      <c r="P55" s="6">
        <f>0.875 * $B$38 + (1 - 0.875) * $B$37</f>
        <v>9.7195</v>
      </c>
      <c r="Q55" s="6">
        <f>0.9375 * $B$38 + (1 - 0.9375) * $B$37</f>
        <v>9.3637499999999978</v>
      </c>
      <c r="R55" s="7">
        <f>1 * $B$38 + (1 - 1) * $B$37</f>
        <v>9.0079999999999991</v>
      </c>
    </row>
    <row r="56" spans="1:18" x14ac:dyDescent="0.25">
      <c r="A56" s="8" t="s">
        <v>26</v>
      </c>
      <c r="B56" s="9">
        <f>(0 * $B$38 + (1 - 0) * $B$37) * $B$36 / 100</f>
        <v>14.7</v>
      </c>
      <c r="C56" s="9">
        <f>(0.0625 * $B$38 + (1 - 0.0625) * $B$37) * $B$36 / 100</f>
        <v>14.344249999999999</v>
      </c>
      <c r="D56" s="9">
        <f>(0.125 * $B$38 + (1 - 0.125) * $B$37) * $B$36 / 100</f>
        <v>13.988499999999998</v>
      </c>
      <c r="E56" s="9">
        <f>(0.1875 * $B$38 + (1 - 0.1875) * $B$37) * $B$36 / 100</f>
        <v>13.632749999999998</v>
      </c>
      <c r="F56" s="9">
        <f>(0.25 * $B$38 + (1 - 0.25) * $B$37) * $B$36 / 100</f>
        <v>13.276999999999997</v>
      </c>
      <c r="G56" s="9">
        <f>(0.3125 * $B$38 + (1 - 0.3125) * $B$37) * $B$36 / 100</f>
        <v>12.921249999999997</v>
      </c>
      <c r="H56" s="9">
        <f>(0.375 * $B$38 + (1 - 0.375) * $B$37) * $B$36 / 100</f>
        <v>12.5655</v>
      </c>
      <c r="I56" s="9">
        <f>(0.4375 * $B$38 + (1 - 0.4375) * $B$37) * $B$36 / 100</f>
        <v>12.20975</v>
      </c>
      <c r="J56" s="9">
        <f>(0.5 * $B$38 + (1 - 0.5) * $B$37) * $B$36 / 100</f>
        <v>11.853999999999999</v>
      </c>
      <c r="K56" s="9">
        <f>(0.5625 * $B$38 + (1 - 0.5625) * $B$37) * $B$36 / 100</f>
        <v>11.498249999999999</v>
      </c>
      <c r="L56" s="9">
        <f>(0.625 * $B$38 + (1 - 0.625) * $B$37) * $B$36 / 100</f>
        <v>11.142499999999998</v>
      </c>
      <c r="M56" s="9">
        <f>(0.6875 * $B$38 + (1 - 0.6875) * $B$37) * $B$36 / 100</f>
        <v>10.78675</v>
      </c>
      <c r="N56" s="9">
        <f>(0.75 * $B$38 + (1 - 0.75) * $B$37) * $B$36 / 100</f>
        <v>10.430999999999999</v>
      </c>
      <c r="O56" s="9">
        <f>(0.8125 * $B$38 + (1 - 0.8125) * $B$37) * $B$36 / 100</f>
        <v>10.075249999999999</v>
      </c>
      <c r="P56" s="9">
        <f>(0.875 * $B$38 + (1 - 0.875) * $B$37) * $B$36 / 100</f>
        <v>9.7195</v>
      </c>
      <c r="Q56" s="9">
        <f>(0.9375 * $B$38 + (1 - 0.9375) * $B$37) * $B$36 / 100</f>
        <v>9.3637499999999978</v>
      </c>
      <c r="R56" s="10">
        <f>(1 * $B$38 + (1 - 1) * $B$37) * $B$36 / 100</f>
        <v>9.0079999999999991</v>
      </c>
    </row>
  </sheetData>
  <sheetProtection algorithmName="SHA-512" hashValue="VW+QNxlgpMvr3iCpK6aXDzXKGZCwxCP0vf/juEFmlUFpY4CEkFiPTxQfpijrXQieVfoaA6ZCqWHt8lyDm4OXXw==" saltValue="XgJpOn4JS1oyXAWZ4Y/gd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R61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0.12999999999999989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-50</v>
      </c>
      <c r="B41" s="6">
        <v>103.587475087744</v>
      </c>
      <c r="C41" s="6">
        <f>103.587475087744 * $B$36 / 100</f>
        <v>103.58747508774398</v>
      </c>
      <c r="D41" s="6">
        <v>13.051791666666659</v>
      </c>
      <c r="E41" s="7">
        <f>13.0517916666666 * $B$36 / 100</f>
        <v>13.051791666666599</v>
      </c>
    </row>
    <row r="42" spans="1:5" x14ac:dyDescent="0.25">
      <c r="A42" s="5">
        <v>-40</v>
      </c>
      <c r="B42" s="6">
        <v>105.1566165188098</v>
      </c>
      <c r="C42" s="6">
        <f>105.156616518809 * $B$36 / 100</f>
        <v>105.156616518809</v>
      </c>
      <c r="D42" s="6">
        <v>13.249499999999999</v>
      </c>
      <c r="E42" s="7">
        <f>13.2494999999999 * $B$36 / 100</f>
        <v>13.2494999999999</v>
      </c>
    </row>
    <row r="43" spans="1:5" x14ac:dyDescent="0.25">
      <c r="A43" s="5">
        <v>-30</v>
      </c>
      <c r="B43" s="6">
        <v>106.7257579498756</v>
      </c>
      <c r="C43" s="6">
        <f>106.725757949875 * $B$36 / 100</f>
        <v>106.725757949875</v>
      </c>
      <c r="D43" s="6">
        <v>13.447208333333331</v>
      </c>
      <c r="E43" s="7">
        <f>13.4472083333333 * $B$36 / 100</f>
        <v>13.4472083333333</v>
      </c>
    </row>
    <row r="44" spans="1:5" x14ac:dyDescent="0.25">
      <c r="A44" s="5">
        <v>-20</v>
      </c>
      <c r="B44" s="6">
        <v>108.2948993809415</v>
      </c>
      <c r="C44" s="6">
        <f>108.294899380941 * $B$36 / 100</f>
        <v>108.294899380941</v>
      </c>
      <c r="D44" s="6">
        <v>13.644916666666671</v>
      </c>
      <c r="E44" s="7">
        <f>13.6449166666666 * $B$36 / 100</f>
        <v>13.6449166666666</v>
      </c>
    </row>
    <row r="45" spans="1:5" x14ac:dyDescent="0.25">
      <c r="A45" s="5">
        <v>-10</v>
      </c>
      <c r="B45" s="6">
        <v>109.8640408120073</v>
      </c>
      <c r="C45" s="6">
        <f>109.864040812007 * $B$36 / 100</f>
        <v>109.864040812007</v>
      </c>
      <c r="D45" s="6">
        <v>13.842625</v>
      </c>
      <c r="E45" s="7">
        <f>13.842625 * $B$36 / 100</f>
        <v>13.842625</v>
      </c>
    </row>
    <row r="46" spans="1:5" x14ac:dyDescent="0.25">
      <c r="A46" s="5">
        <v>0</v>
      </c>
      <c r="B46" s="6">
        <v>111.43318224307311</v>
      </c>
      <c r="C46" s="6">
        <f>111.433182243073 * $B$36 / 100</f>
        <v>111.43318224307301</v>
      </c>
      <c r="D46" s="6">
        <v>14.040333333333329</v>
      </c>
      <c r="E46" s="7">
        <f>14.0403333333333 * $B$36 / 100</f>
        <v>14.040333333333299</v>
      </c>
    </row>
    <row r="47" spans="1:5" x14ac:dyDescent="0.25">
      <c r="A47" s="5">
        <v>10</v>
      </c>
      <c r="B47" s="6">
        <v>112.7580204236406</v>
      </c>
      <c r="C47" s="6">
        <f>112.75802042364 * $B$36 / 100</f>
        <v>112.75802042364</v>
      </c>
      <c r="D47" s="6">
        <v>14.20726</v>
      </c>
      <c r="E47" s="7">
        <f>14.2072599999999 * $B$36 / 100</f>
        <v>14.2072599999999</v>
      </c>
    </row>
    <row r="48" spans="1:5" x14ac:dyDescent="0.25">
      <c r="A48" s="5">
        <v>20</v>
      </c>
      <c r="B48" s="6">
        <v>114.0828586042082</v>
      </c>
      <c r="C48" s="6">
        <f>114.082858604208 * $B$36 / 100</f>
        <v>114.082858604208</v>
      </c>
      <c r="D48" s="6">
        <v>14.37418666666667</v>
      </c>
      <c r="E48" s="7">
        <f>14.3741866666666 * $B$36 / 100</f>
        <v>14.374186666666599</v>
      </c>
    </row>
    <row r="49" spans="1:18" x14ac:dyDescent="0.25">
      <c r="A49" s="5">
        <v>30</v>
      </c>
      <c r="B49" s="6">
        <v>115.40769678477569</v>
      </c>
      <c r="C49" s="6">
        <f>115.407696784775 * $B$36 / 100</f>
        <v>115.407696784775</v>
      </c>
      <c r="D49" s="6">
        <v>14.54111333333333</v>
      </c>
      <c r="E49" s="7">
        <f>14.5411133333333 * $B$36 / 100</f>
        <v>14.541113333333302</v>
      </c>
    </row>
    <row r="50" spans="1:18" x14ac:dyDescent="0.25">
      <c r="A50" s="5">
        <v>40</v>
      </c>
      <c r="B50" s="6">
        <v>116.73253496534331</v>
      </c>
      <c r="C50" s="6">
        <f>116.732534965343 * $B$36 / 100</f>
        <v>116.73253496534301</v>
      </c>
      <c r="D50" s="6">
        <v>14.70804</v>
      </c>
      <c r="E50" s="7">
        <f>14.7080399999999 * $B$36 / 100</f>
        <v>14.708039999999899</v>
      </c>
    </row>
    <row r="51" spans="1:18" x14ac:dyDescent="0.25">
      <c r="A51" s="5">
        <v>50</v>
      </c>
      <c r="B51" s="6">
        <v>118.0573731459109</v>
      </c>
      <c r="C51" s="6">
        <f>118.05737314591 * $B$36 / 100</f>
        <v>118.05737314591001</v>
      </c>
      <c r="D51" s="6">
        <v>14.874966666666669</v>
      </c>
      <c r="E51" s="7">
        <f>14.8749666666666 * $B$36 / 100</f>
        <v>14.874966666666602</v>
      </c>
    </row>
    <row r="52" spans="1:18" x14ac:dyDescent="0.25">
      <c r="A52" s="5">
        <v>60</v>
      </c>
      <c r="B52" s="6">
        <v>119.3822113264784</v>
      </c>
      <c r="C52" s="6">
        <f>119.382211326478 * $B$36 / 100</f>
        <v>119.38221132647799</v>
      </c>
      <c r="D52" s="6">
        <v>15.041893333333331</v>
      </c>
      <c r="E52" s="7">
        <f>15.0418933333333 * $B$36 / 100</f>
        <v>15.0418933333333</v>
      </c>
    </row>
    <row r="53" spans="1:18" x14ac:dyDescent="0.25">
      <c r="A53" s="5">
        <v>70</v>
      </c>
      <c r="B53" s="6">
        <v>120.70704950704599</v>
      </c>
      <c r="C53" s="6">
        <f>120.707049507045 * $B$36 / 100</f>
        <v>120.707049507045</v>
      </c>
      <c r="D53" s="6">
        <v>15.208819999999999</v>
      </c>
      <c r="E53" s="7">
        <f>15.20882 * $B$36 / 100</f>
        <v>15.208819999999998</v>
      </c>
    </row>
    <row r="54" spans="1:18" x14ac:dyDescent="0.25">
      <c r="A54" s="5">
        <v>80</v>
      </c>
      <c r="B54" s="6">
        <v>122.03188768761351</v>
      </c>
      <c r="C54" s="6">
        <f>122.031887687613 * $B$36 / 100</f>
        <v>122.03188768761299</v>
      </c>
      <c r="D54" s="6">
        <v>15.375746666666659</v>
      </c>
      <c r="E54" s="7">
        <f>15.3757466666666 * $B$36 / 100</f>
        <v>15.375746666666601</v>
      </c>
    </row>
    <row r="55" spans="1:18" x14ac:dyDescent="0.25">
      <c r="A55" s="5">
        <v>90</v>
      </c>
      <c r="B55" s="6">
        <v>123.3567258681811</v>
      </c>
      <c r="C55" s="6">
        <f>123.356725868181 * $B$36 / 100</f>
        <v>123.356725868181</v>
      </c>
      <c r="D55" s="6">
        <v>15.54267333333333</v>
      </c>
      <c r="E55" s="7">
        <f>15.5426733333333 * $B$36 / 100</f>
        <v>15.542673333333301</v>
      </c>
    </row>
    <row r="56" spans="1:18" x14ac:dyDescent="0.25">
      <c r="A56" s="8">
        <v>100</v>
      </c>
      <c r="B56" s="9">
        <v>124.6815640487487</v>
      </c>
      <c r="C56" s="9">
        <f>124.681564048748 * $B$36 / 100</f>
        <v>124.681564048748</v>
      </c>
      <c r="D56" s="9">
        <v>15.7096</v>
      </c>
      <c r="E56" s="10">
        <f>15.7096 * $B$36 / 100</f>
        <v>15.7096</v>
      </c>
    </row>
    <row r="58" spans="1:18" ht="28.9" customHeight="1" x14ac:dyDescent="0.5">
      <c r="A58" s="1" t="s">
        <v>23</v>
      </c>
      <c r="B58" s="1"/>
    </row>
    <row r="59" spans="1:18" x14ac:dyDescent="0.25">
      <c r="A59" s="21" t="s">
        <v>24</v>
      </c>
      <c r="B59" s="22">
        <v>0</v>
      </c>
      <c r="C59" s="22">
        <v>6.25</v>
      </c>
      <c r="D59" s="22">
        <v>12.5</v>
      </c>
      <c r="E59" s="22">
        <v>18.75</v>
      </c>
      <c r="F59" s="22">
        <v>25</v>
      </c>
      <c r="G59" s="22">
        <v>31.25</v>
      </c>
      <c r="H59" s="22">
        <v>37.5</v>
      </c>
      <c r="I59" s="22">
        <v>43.75</v>
      </c>
      <c r="J59" s="22">
        <v>50</v>
      </c>
      <c r="K59" s="22">
        <v>56.25</v>
      </c>
      <c r="L59" s="22">
        <v>62.5</v>
      </c>
      <c r="M59" s="22">
        <v>68.75</v>
      </c>
      <c r="N59" s="22">
        <v>75</v>
      </c>
      <c r="O59" s="22">
        <v>81.25</v>
      </c>
      <c r="P59" s="22">
        <v>87.5</v>
      </c>
      <c r="Q59" s="22">
        <v>93.75</v>
      </c>
      <c r="R59" s="23">
        <v>100</v>
      </c>
    </row>
    <row r="60" spans="1:18" x14ac:dyDescent="0.25">
      <c r="A60" s="5" t="s">
        <v>25</v>
      </c>
      <c r="B60" s="6">
        <f>0 * $B$38 + (1 - 0) * $B$37</f>
        <v>14.7</v>
      </c>
      <c r="C60" s="6">
        <f>0.0625 * $B$38 + (1 - 0.0625) * $B$37</f>
        <v>14.344250000000001</v>
      </c>
      <c r="D60" s="6">
        <f>0.125 * $B$38 + (1 - 0.125) * $B$37</f>
        <v>13.988499999999998</v>
      </c>
      <c r="E60" s="6">
        <f>0.1875 * $B$38 + (1 - 0.1875) * $B$37</f>
        <v>13.63275</v>
      </c>
      <c r="F60" s="6">
        <f>0.25 * $B$38 + (1 - 0.25) * $B$37</f>
        <v>13.276999999999997</v>
      </c>
      <c r="G60" s="6">
        <f>0.3125 * $B$38 + (1 - 0.3125) * $B$37</f>
        <v>12.921249999999999</v>
      </c>
      <c r="H60" s="6">
        <f>0.375 * $B$38 + (1 - 0.375) * $B$37</f>
        <v>12.5655</v>
      </c>
      <c r="I60" s="6">
        <f>0.4375 * $B$38 + (1 - 0.4375) * $B$37</f>
        <v>12.20975</v>
      </c>
      <c r="J60" s="6">
        <f>0.5 * $B$38 + (1 - 0.5) * $B$37</f>
        <v>11.853999999999999</v>
      </c>
      <c r="K60" s="6">
        <f>0.5625 * $B$38 + (1 - 0.5625) * $B$37</f>
        <v>11.498249999999999</v>
      </c>
      <c r="L60" s="6">
        <f>0.625 * $B$38 + (1 - 0.625) * $B$37</f>
        <v>11.142499999999998</v>
      </c>
      <c r="M60" s="6">
        <f>0.6875 * $B$38 + (1 - 0.6875) * $B$37</f>
        <v>10.78675</v>
      </c>
      <c r="N60" s="6">
        <f>0.75 * $B$38 + (1 - 0.75) * $B$37</f>
        <v>10.430999999999999</v>
      </c>
      <c r="O60" s="6">
        <f>0.8125 * $B$38 + (1 - 0.8125) * $B$37</f>
        <v>10.075249999999999</v>
      </c>
      <c r="P60" s="6">
        <f>0.875 * $B$38 + (1 - 0.875) * $B$37</f>
        <v>9.7195</v>
      </c>
      <c r="Q60" s="6">
        <f>0.9375 * $B$38 + (1 - 0.9375) * $B$37</f>
        <v>9.3637499999999978</v>
      </c>
      <c r="R60" s="7">
        <f>1 * $B$38 + (1 - 1) * $B$37</f>
        <v>9.0079999999999991</v>
      </c>
    </row>
    <row r="61" spans="1:18" x14ac:dyDescent="0.25">
      <c r="A61" s="8" t="s">
        <v>26</v>
      </c>
      <c r="B61" s="9">
        <f>(0 * $B$38 + (1 - 0) * $B$37) * $B$36 / 100</f>
        <v>14.7</v>
      </c>
      <c r="C61" s="9">
        <f>(0.0625 * $B$38 + (1 - 0.0625) * $B$37) * $B$36 / 100</f>
        <v>14.344249999999999</v>
      </c>
      <c r="D61" s="9">
        <f>(0.125 * $B$38 + (1 - 0.125) * $B$37) * $B$36 / 100</f>
        <v>13.988499999999998</v>
      </c>
      <c r="E61" s="9">
        <f>(0.1875 * $B$38 + (1 - 0.1875) * $B$37) * $B$36 / 100</f>
        <v>13.632749999999998</v>
      </c>
      <c r="F61" s="9">
        <f>(0.25 * $B$38 + (1 - 0.25) * $B$37) * $B$36 / 100</f>
        <v>13.276999999999997</v>
      </c>
      <c r="G61" s="9">
        <f>(0.3125 * $B$38 + (1 - 0.3125) * $B$37) * $B$36 / 100</f>
        <v>12.921249999999997</v>
      </c>
      <c r="H61" s="9">
        <f>(0.375 * $B$38 + (1 - 0.375) * $B$37) * $B$36 / 100</f>
        <v>12.5655</v>
      </c>
      <c r="I61" s="9">
        <f>(0.4375 * $B$38 + (1 - 0.4375) * $B$37) * $B$36 / 100</f>
        <v>12.20975</v>
      </c>
      <c r="J61" s="9">
        <f>(0.5 * $B$38 + (1 - 0.5) * $B$37) * $B$36 / 100</f>
        <v>11.853999999999999</v>
      </c>
      <c r="K61" s="9">
        <f>(0.5625 * $B$38 + (1 - 0.5625) * $B$37) * $B$36 / 100</f>
        <v>11.498249999999999</v>
      </c>
      <c r="L61" s="9">
        <f>(0.625 * $B$38 + (1 - 0.625) * $B$37) * $B$36 / 100</f>
        <v>11.142499999999998</v>
      </c>
      <c r="M61" s="9">
        <f>(0.6875 * $B$38 + (1 - 0.6875) * $B$37) * $B$36 / 100</f>
        <v>10.78675</v>
      </c>
      <c r="N61" s="9">
        <f>(0.75 * $B$38 + (1 - 0.75) * $B$37) * $B$36 / 100</f>
        <v>10.430999999999999</v>
      </c>
      <c r="O61" s="9">
        <f>(0.8125 * $B$38 + (1 - 0.8125) * $B$37) * $B$36 / 100</f>
        <v>10.075249999999999</v>
      </c>
      <c r="P61" s="9">
        <f>(0.875 * $B$38 + (1 - 0.875) * $B$37) * $B$36 / 100</f>
        <v>9.7195</v>
      </c>
      <c r="Q61" s="9">
        <f>(0.9375 * $B$38 + (1 - 0.9375) * $B$37) * $B$36 / 100</f>
        <v>9.3637499999999978</v>
      </c>
      <c r="R61" s="10">
        <f>(1 * $B$38 + (1 - 1) * $B$37) * $B$36 / 100</f>
        <v>9.0079999999999991</v>
      </c>
    </row>
  </sheetData>
  <sheetProtection algorithmName="SHA-512" hashValue="u2a5/Nxi5APUE0/XI6gJP5nFe+hiS5TsWbRLTLw0IwN+z7jhJfHlbcddzEcNMvbK0Y6nhVOC7gcBfCWIDoKsNQ==" saltValue="EsSib8kgl9rgm81qlZe6MA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5:AH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37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0.12999999999999989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-120</v>
      </c>
      <c r="B41" s="6">
        <v>91.948790983967953</v>
      </c>
      <c r="C41" s="6">
        <f>91.9487909839679 * $B$36 / 100</f>
        <v>91.948790983967896</v>
      </c>
      <c r="D41" s="6">
        <v>11.585343333333331</v>
      </c>
      <c r="E41" s="7">
        <f>11.5853433333333 * $B$36 / 100</f>
        <v>11.5853433333333</v>
      </c>
    </row>
    <row r="42" spans="1:5" x14ac:dyDescent="0.25">
      <c r="A42" s="5">
        <v>-114</v>
      </c>
      <c r="B42" s="6">
        <v>93.08668406850208</v>
      </c>
      <c r="C42" s="6">
        <f>93.086684068502 * $B$36 / 100</f>
        <v>93.086684068501995</v>
      </c>
      <c r="D42" s="6">
        <v>11.72871533333333</v>
      </c>
      <c r="E42" s="7">
        <f>11.7287153333333 * $B$36 / 100</f>
        <v>11.7287153333333</v>
      </c>
    </row>
    <row r="43" spans="1:5" x14ac:dyDescent="0.25">
      <c r="A43" s="5">
        <v>-108</v>
      </c>
      <c r="B43" s="6">
        <v>94.224577153036194</v>
      </c>
      <c r="C43" s="6">
        <f>94.2245771530362 * $B$36 / 100</f>
        <v>94.224577153036194</v>
      </c>
      <c r="D43" s="6">
        <v>11.872087333333329</v>
      </c>
      <c r="E43" s="7">
        <f>11.8720873333333 * $B$36 / 100</f>
        <v>11.872087333333299</v>
      </c>
    </row>
    <row r="44" spans="1:5" x14ac:dyDescent="0.25">
      <c r="A44" s="5">
        <v>-101</v>
      </c>
      <c r="B44" s="6">
        <v>95.552119084992668</v>
      </c>
      <c r="C44" s="6">
        <f>95.5521190849926 * $B$36 / 100</f>
        <v>95.552119084992597</v>
      </c>
      <c r="D44" s="6">
        <v>12.039354666666661</v>
      </c>
      <c r="E44" s="7">
        <f>12.0393546666666 * $B$36 / 100</f>
        <v>12.0393546666666</v>
      </c>
    </row>
    <row r="45" spans="1:5" x14ac:dyDescent="0.25">
      <c r="A45" s="5">
        <v>-95</v>
      </c>
      <c r="B45" s="6">
        <v>96.526338647947924</v>
      </c>
      <c r="C45" s="6">
        <f>96.5263386479479 * $B$36 / 100</f>
        <v>96.526338647947881</v>
      </c>
      <c r="D45" s="6">
        <v>12.16210416666666</v>
      </c>
      <c r="E45" s="7">
        <f>12.1621041666666 * $B$36 / 100</f>
        <v>12.1621041666666</v>
      </c>
    </row>
    <row r="46" spans="1:5" x14ac:dyDescent="0.25">
      <c r="A46" s="5">
        <v>-89</v>
      </c>
      <c r="B46" s="6">
        <v>97.467823506587408</v>
      </c>
      <c r="C46" s="6">
        <f>97.4678235065874 * $B$36 / 100</f>
        <v>97.467823506587393</v>
      </c>
      <c r="D46" s="6">
        <v>12.280729166666671</v>
      </c>
      <c r="E46" s="7">
        <f>12.2807291666666 * $B$36 / 100</f>
        <v>12.2807291666666</v>
      </c>
    </row>
    <row r="47" spans="1:5" x14ac:dyDescent="0.25">
      <c r="A47" s="5">
        <v>-83</v>
      </c>
      <c r="B47" s="6">
        <v>98.409308365226877</v>
      </c>
      <c r="C47" s="6">
        <f>98.4093083652268 * $B$36 / 100</f>
        <v>98.409308365226806</v>
      </c>
      <c r="D47" s="6">
        <v>12.39935416666666</v>
      </c>
      <c r="E47" s="7">
        <f>12.3993541666666 * $B$36 / 100</f>
        <v>12.399354166666599</v>
      </c>
    </row>
    <row r="48" spans="1:5" x14ac:dyDescent="0.25">
      <c r="A48" s="5">
        <v>-76</v>
      </c>
      <c r="B48" s="6">
        <v>99.507707366972951</v>
      </c>
      <c r="C48" s="6">
        <f>99.5077073669729 * $B$36 / 100</f>
        <v>99.507707366972895</v>
      </c>
      <c r="D48" s="6">
        <v>12.537750000000001</v>
      </c>
      <c r="E48" s="7">
        <f>12.5377499999999 * $B$36 / 100</f>
        <v>12.537749999999898</v>
      </c>
    </row>
    <row r="49" spans="1:5" x14ac:dyDescent="0.25">
      <c r="A49" s="5">
        <v>-70</v>
      </c>
      <c r="B49" s="6">
        <v>100.44919222561241</v>
      </c>
      <c r="C49" s="6">
        <f>100.449192225612 * $B$36 / 100</f>
        <v>100.44919222561198</v>
      </c>
      <c r="D49" s="6">
        <v>12.656375000000001</v>
      </c>
      <c r="E49" s="7">
        <f>12.6563749999999 * $B$36 / 100</f>
        <v>12.656374999999901</v>
      </c>
    </row>
    <row r="50" spans="1:5" x14ac:dyDescent="0.25">
      <c r="A50" s="5">
        <v>-64</v>
      </c>
      <c r="B50" s="6">
        <v>101.39067708425191</v>
      </c>
      <c r="C50" s="6">
        <f>101.390677084251 * $B$36 / 100</f>
        <v>101.390677084251</v>
      </c>
      <c r="D50" s="6">
        <v>12.775</v>
      </c>
      <c r="E50" s="7">
        <f>12.7749999999999 * $B$36 / 100</f>
        <v>12.774999999999899</v>
      </c>
    </row>
    <row r="51" spans="1:5" x14ac:dyDescent="0.25">
      <c r="A51" s="5">
        <v>-58</v>
      </c>
      <c r="B51" s="6">
        <v>102.3321619428914</v>
      </c>
      <c r="C51" s="6">
        <f>102.332161942891 * $B$36 / 100</f>
        <v>102.33216194289099</v>
      </c>
      <c r="D51" s="6">
        <v>12.893625</v>
      </c>
      <c r="E51" s="7">
        <f>12.8936249999999 * $B$36 / 100</f>
        <v>12.893624999999902</v>
      </c>
    </row>
    <row r="52" spans="1:5" x14ac:dyDescent="0.25">
      <c r="A52" s="5">
        <v>-51</v>
      </c>
      <c r="B52" s="6">
        <v>103.43056094463751</v>
      </c>
      <c r="C52" s="6">
        <f>103.430560944637 * $B$36 / 100</f>
        <v>103.43056094463699</v>
      </c>
      <c r="D52" s="6">
        <v>13.032020833333331</v>
      </c>
      <c r="E52" s="7">
        <f>13.0320208333333 * $B$36 / 100</f>
        <v>13.032020833333299</v>
      </c>
    </row>
    <row r="53" spans="1:5" x14ac:dyDescent="0.25">
      <c r="A53" s="5">
        <v>-45</v>
      </c>
      <c r="B53" s="6">
        <v>104.3720458032769</v>
      </c>
      <c r="C53" s="6">
        <f>104.372045803276 * $B$36 / 100</f>
        <v>104.372045803276</v>
      </c>
      <c r="D53" s="6">
        <v>13.15064583333333</v>
      </c>
      <c r="E53" s="7">
        <f>13.1506458333333 * $B$36 / 100</f>
        <v>13.150645833333302</v>
      </c>
    </row>
    <row r="54" spans="1:5" x14ac:dyDescent="0.25">
      <c r="A54" s="5">
        <v>-39</v>
      </c>
      <c r="B54" s="6">
        <v>105.3135306619164</v>
      </c>
      <c r="C54" s="6">
        <f>105.313530661916 * $B$36 / 100</f>
        <v>105.313530661916</v>
      </c>
      <c r="D54" s="6">
        <v>13.26927083333333</v>
      </c>
      <c r="E54" s="7">
        <f>13.2692708333333 * $B$36 / 100</f>
        <v>13.269270833333302</v>
      </c>
    </row>
    <row r="55" spans="1:5" x14ac:dyDescent="0.25">
      <c r="A55" s="5">
        <v>-33</v>
      </c>
      <c r="B55" s="6">
        <v>106.2550155205559</v>
      </c>
      <c r="C55" s="6">
        <f>106.255015520555 * $B$36 / 100</f>
        <v>106.25501552055501</v>
      </c>
      <c r="D55" s="6">
        <v>13.38789583333333</v>
      </c>
      <c r="E55" s="7">
        <f>13.3878958333333 * $B$36 / 100</f>
        <v>13.3878958333333</v>
      </c>
    </row>
    <row r="56" spans="1:5" x14ac:dyDescent="0.25">
      <c r="A56" s="5">
        <v>-26</v>
      </c>
      <c r="B56" s="6">
        <v>107.353414522302</v>
      </c>
      <c r="C56" s="6">
        <f>107.353414522301 * $B$36 / 100</f>
        <v>107.35341452230099</v>
      </c>
      <c r="D56" s="6">
        <v>13.526291666666671</v>
      </c>
      <c r="E56" s="7">
        <f>13.5262916666666 * $B$36 / 100</f>
        <v>13.5262916666666</v>
      </c>
    </row>
    <row r="57" spans="1:5" x14ac:dyDescent="0.25">
      <c r="A57" s="5">
        <v>-20</v>
      </c>
      <c r="B57" s="6">
        <v>108.2948993809415</v>
      </c>
      <c r="C57" s="6">
        <f>108.294899380941 * $B$36 / 100</f>
        <v>108.294899380941</v>
      </c>
      <c r="D57" s="6">
        <v>13.644916666666671</v>
      </c>
      <c r="E57" s="7">
        <f>13.6449166666666 * $B$36 / 100</f>
        <v>13.6449166666666</v>
      </c>
    </row>
    <row r="58" spans="1:5" x14ac:dyDescent="0.25">
      <c r="A58" s="5">
        <v>-14</v>
      </c>
      <c r="B58" s="6">
        <v>109.2363842395809</v>
      </c>
      <c r="C58" s="6">
        <f>109.23638423958 * $B$36 / 100</f>
        <v>109.23638423958</v>
      </c>
      <c r="D58" s="6">
        <v>13.76354166666667</v>
      </c>
      <c r="E58" s="7">
        <f>13.7635416666666 * $B$36 / 100</f>
        <v>13.763541666666599</v>
      </c>
    </row>
    <row r="59" spans="1:5" x14ac:dyDescent="0.25">
      <c r="A59" s="5">
        <v>-8</v>
      </c>
      <c r="B59" s="6">
        <v>110.1778690982204</v>
      </c>
      <c r="C59" s="6">
        <f>110.17786909822 * $B$36 / 100</f>
        <v>110.17786909822</v>
      </c>
      <c r="D59" s="6">
        <v>13.882166666666659</v>
      </c>
      <c r="E59" s="7">
        <f>13.8821666666666 * $B$36 / 100</f>
        <v>13.882166666666601</v>
      </c>
    </row>
    <row r="60" spans="1:5" x14ac:dyDescent="0.25">
      <c r="A60" s="5">
        <v>-1</v>
      </c>
      <c r="B60" s="6">
        <v>111.2762680999665</v>
      </c>
      <c r="C60" s="6">
        <f>111.276268099966 * $B$36 / 100</f>
        <v>111.276268099966</v>
      </c>
      <c r="D60" s="6">
        <v>14.0205625</v>
      </c>
      <c r="E60" s="7">
        <f>14.0205624999999 * $B$36 / 100</f>
        <v>14.020562499999899</v>
      </c>
    </row>
    <row r="61" spans="1:5" x14ac:dyDescent="0.25">
      <c r="A61" s="5">
        <v>5</v>
      </c>
      <c r="B61" s="6">
        <v>112.0956013333568</v>
      </c>
      <c r="C61" s="6">
        <f>112.095601333356 * $B$36 / 100</f>
        <v>112.095601333356</v>
      </c>
      <c r="D61" s="6">
        <v>14.12379666666666</v>
      </c>
      <c r="E61" s="7">
        <f>14.1237966666666 * $B$36 / 100</f>
        <v>14.1237966666666</v>
      </c>
    </row>
    <row r="62" spans="1:5" x14ac:dyDescent="0.25">
      <c r="A62" s="5">
        <v>11</v>
      </c>
      <c r="B62" s="6">
        <v>112.8905042416974</v>
      </c>
      <c r="C62" s="6">
        <f>112.890504241697 * $B$36 / 100</f>
        <v>112.890504241697</v>
      </c>
      <c r="D62" s="6">
        <v>14.22395266666666</v>
      </c>
      <c r="E62" s="7">
        <f>14.2239526666666 * $B$36 / 100</f>
        <v>14.2239526666666</v>
      </c>
    </row>
    <row r="63" spans="1:5" x14ac:dyDescent="0.25">
      <c r="A63" s="5">
        <v>18</v>
      </c>
      <c r="B63" s="6">
        <v>113.8178909680947</v>
      </c>
      <c r="C63" s="6">
        <f>113.817890968094 * $B$36 / 100</f>
        <v>113.81789096809399</v>
      </c>
      <c r="D63" s="6">
        <v>14.34080133333333</v>
      </c>
      <c r="E63" s="7">
        <f>14.3408013333333 * $B$36 / 100</f>
        <v>14.3408013333333</v>
      </c>
    </row>
    <row r="64" spans="1:5" x14ac:dyDescent="0.25">
      <c r="A64" s="5">
        <v>24</v>
      </c>
      <c r="B64" s="6">
        <v>114.61279387643521</v>
      </c>
      <c r="C64" s="6">
        <f>114.612793876435 * $B$36 / 100</f>
        <v>114.61279387643501</v>
      </c>
      <c r="D64" s="6">
        <v>14.44095733333333</v>
      </c>
      <c r="E64" s="7">
        <f>14.4409573333333 * $B$36 / 100</f>
        <v>14.4409573333333</v>
      </c>
    </row>
    <row r="65" spans="1:18" x14ac:dyDescent="0.25">
      <c r="A65" s="5">
        <v>30</v>
      </c>
      <c r="B65" s="6">
        <v>115.40769678477569</v>
      </c>
      <c r="C65" s="6">
        <f>115.407696784775 * $B$36 / 100</f>
        <v>115.407696784775</v>
      </c>
      <c r="D65" s="6">
        <v>14.54111333333333</v>
      </c>
      <c r="E65" s="7">
        <f>14.5411133333333 * $B$36 / 100</f>
        <v>14.541113333333302</v>
      </c>
    </row>
    <row r="66" spans="1:18" x14ac:dyDescent="0.25">
      <c r="A66" s="5">
        <v>36</v>
      </c>
      <c r="B66" s="6">
        <v>116.2025996931163</v>
      </c>
      <c r="C66" s="6">
        <f>116.202599693116 * $B$36 / 100</f>
        <v>116.20259969311601</v>
      </c>
      <c r="D66" s="6">
        <v>14.64126933333333</v>
      </c>
      <c r="E66" s="7">
        <f>14.6412693333333 * $B$36 / 100</f>
        <v>14.6412693333333</v>
      </c>
    </row>
    <row r="67" spans="1:18" x14ac:dyDescent="0.25">
      <c r="A67" s="5">
        <v>43</v>
      </c>
      <c r="B67" s="6">
        <v>117.1299864195136</v>
      </c>
      <c r="C67" s="6">
        <f>117.129986419513 * $B$36 / 100</f>
        <v>117.129986419513</v>
      </c>
      <c r="D67" s="6">
        <v>14.758118</v>
      </c>
      <c r="E67" s="7">
        <f>14.758118 * $B$36 / 100</f>
        <v>14.758118</v>
      </c>
    </row>
    <row r="68" spans="1:18" x14ac:dyDescent="0.25">
      <c r="A68" s="5">
        <v>49</v>
      </c>
      <c r="B68" s="6">
        <v>117.9248893278541</v>
      </c>
      <c r="C68" s="6">
        <f>117.924889327854 * $B$36 / 100</f>
        <v>117.924889327854</v>
      </c>
      <c r="D68" s="6">
        <v>14.858274</v>
      </c>
      <c r="E68" s="7">
        <f>14.858274 * $B$36 / 100</f>
        <v>14.858274</v>
      </c>
    </row>
    <row r="69" spans="1:18" x14ac:dyDescent="0.25">
      <c r="A69" s="5">
        <v>55</v>
      </c>
      <c r="B69" s="6">
        <v>118.71979223619461</v>
      </c>
      <c r="C69" s="6">
        <f>118.719792236194 * $B$36 / 100</f>
        <v>118.719792236194</v>
      </c>
      <c r="D69" s="6">
        <v>14.95843</v>
      </c>
      <c r="E69" s="7">
        <f>14.95843 * $B$36 / 100</f>
        <v>14.95843</v>
      </c>
    </row>
    <row r="70" spans="1:18" x14ac:dyDescent="0.25">
      <c r="A70" s="5">
        <v>61</v>
      </c>
      <c r="B70" s="6">
        <v>119.5146951445352</v>
      </c>
      <c r="C70" s="6">
        <f>119.514695144535 * $B$36 / 100</f>
        <v>119.514695144535</v>
      </c>
      <c r="D70" s="6">
        <v>15.058586</v>
      </c>
      <c r="E70" s="7">
        <f>15.0585859999999 * $B$36 / 100</f>
        <v>15.058585999999901</v>
      </c>
    </row>
    <row r="71" spans="1:18" x14ac:dyDescent="0.25">
      <c r="A71" s="5">
        <v>68</v>
      </c>
      <c r="B71" s="6">
        <v>120.4420818709325</v>
      </c>
      <c r="C71" s="6">
        <f>120.442081870932 * $B$36 / 100</f>
        <v>120.442081870932</v>
      </c>
      <c r="D71" s="6">
        <v>15.17543466666667</v>
      </c>
      <c r="E71" s="7">
        <f>15.1754346666666 * $B$36 / 100</f>
        <v>15.175434666666598</v>
      </c>
    </row>
    <row r="72" spans="1:18" x14ac:dyDescent="0.25">
      <c r="A72" s="5">
        <v>74</v>
      </c>
      <c r="B72" s="6">
        <v>121.236984779273</v>
      </c>
      <c r="C72" s="6">
        <f>121.236984779273 * $B$36 / 100</f>
        <v>121.236984779273</v>
      </c>
      <c r="D72" s="6">
        <v>15.275590666666661</v>
      </c>
      <c r="E72" s="7">
        <f>15.2755906666666 * $B$36 / 100</f>
        <v>15.2755906666666</v>
      </c>
    </row>
    <row r="73" spans="1:18" x14ac:dyDescent="0.25">
      <c r="A73" s="8">
        <v>80</v>
      </c>
      <c r="B73" s="9">
        <v>122.03188768761351</v>
      </c>
      <c r="C73" s="9">
        <f>122.031887687613 * $B$36 / 100</f>
        <v>122.03188768761299</v>
      </c>
      <c r="D73" s="9">
        <v>15.375746666666659</v>
      </c>
      <c r="E73" s="10">
        <f>15.3757466666666 * $B$36 / 100</f>
        <v>15.375746666666601</v>
      </c>
    </row>
    <row r="75" spans="1:18" ht="28.9" customHeight="1" x14ac:dyDescent="0.5">
      <c r="A75" s="1" t="s">
        <v>23</v>
      </c>
      <c r="B75" s="1"/>
    </row>
    <row r="76" spans="1:18" x14ac:dyDescent="0.25">
      <c r="A76" s="21" t="s">
        <v>24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25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26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27</v>
      </c>
      <c r="B80" s="1"/>
    </row>
    <row r="81" spans="1:34" x14ac:dyDescent="0.25">
      <c r="A81" s="24" t="s">
        <v>28</v>
      </c>
      <c r="B81" s="25" t="s">
        <v>29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6"/>
    </row>
    <row r="82" spans="1:34" x14ac:dyDescent="0.25">
      <c r="A82" s="27" t="s">
        <v>18</v>
      </c>
      <c r="B82" s="28">
        <v>4.5</v>
      </c>
      <c r="C82" s="28">
        <v>5</v>
      </c>
      <c r="D82" s="28">
        <v>5.5</v>
      </c>
      <c r="E82" s="28">
        <v>6</v>
      </c>
      <c r="F82" s="28">
        <v>6.5</v>
      </c>
      <c r="G82" s="28">
        <v>7</v>
      </c>
      <c r="H82" s="28">
        <v>7.5</v>
      </c>
      <c r="I82" s="28">
        <v>8</v>
      </c>
      <c r="J82" s="28">
        <v>8.5</v>
      </c>
      <c r="K82" s="28">
        <v>9</v>
      </c>
      <c r="L82" s="28">
        <v>9.5</v>
      </c>
      <c r="M82" s="28">
        <v>10</v>
      </c>
      <c r="N82" s="28">
        <v>10.5</v>
      </c>
      <c r="O82" s="28">
        <v>11</v>
      </c>
      <c r="P82" s="28">
        <v>11.5</v>
      </c>
      <c r="Q82" s="28">
        <v>12</v>
      </c>
      <c r="R82" s="28">
        <v>12.5</v>
      </c>
      <c r="S82" s="28">
        <v>13</v>
      </c>
      <c r="T82" s="28">
        <v>13.5</v>
      </c>
      <c r="U82" s="28">
        <v>14</v>
      </c>
      <c r="V82" s="28">
        <v>14.5</v>
      </c>
      <c r="W82" s="28">
        <v>15</v>
      </c>
      <c r="X82" s="28">
        <v>15.5</v>
      </c>
      <c r="Y82" s="28">
        <v>16</v>
      </c>
      <c r="Z82" s="28">
        <v>16.5</v>
      </c>
      <c r="AA82" s="28">
        <v>17</v>
      </c>
      <c r="AB82" s="28">
        <v>17.5</v>
      </c>
      <c r="AC82" s="28">
        <v>18</v>
      </c>
      <c r="AD82" s="28">
        <v>18.5</v>
      </c>
      <c r="AE82" s="28">
        <v>19</v>
      </c>
      <c r="AF82" s="28">
        <v>19.5</v>
      </c>
      <c r="AG82" s="28">
        <v>20</v>
      </c>
      <c r="AH82" s="29">
        <v>20.5</v>
      </c>
    </row>
    <row r="83" spans="1:34" x14ac:dyDescent="0.25">
      <c r="A83" s="30">
        <v>-120</v>
      </c>
      <c r="B83" s="31">
        <v>5.39074012611428</v>
      </c>
      <c r="C83" s="31">
        <v>4.7911656035915753</v>
      </c>
      <c r="D83" s="31">
        <v>4.2600888126872132</v>
      </c>
      <c r="E83" s="31">
        <v>3.7917116551073939</v>
      </c>
      <c r="F83" s="31">
        <v>3.380492480775096</v>
      </c>
      <c r="G83" s="31">
        <v>3.0211460878301031</v>
      </c>
      <c r="H83" s="31">
        <v>2.7086437226289779</v>
      </c>
      <c r="I83" s="31">
        <v>2.4382130797450801</v>
      </c>
      <c r="J83" s="31">
        <v>2.20533830196855</v>
      </c>
      <c r="K83" s="31">
        <v>2.00575998030632</v>
      </c>
      <c r="L83" s="31">
        <v>1.835475153982121</v>
      </c>
      <c r="M83" s="31">
        <v>1.690737310436466</v>
      </c>
      <c r="N83" s="31">
        <v>1.5680563853266609</v>
      </c>
      <c r="O83" s="31">
        <v>1.4641987625267989</v>
      </c>
      <c r="P83" s="31">
        <v>1.376187274127761</v>
      </c>
      <c r="Q83" s="31">
        <v>1.30130120043723</v>
      </c>
      <c r="R83" s="31">
        <v>1.2370762699796529</v>
      </c>
      <c r="S83" s="31">
        <v>1.1813046594962879</v>
      </c>
      <c r="T83" s="31">
        <v>1.1320349939451979</v>
      </c>
      <c r="U83" s="31">
        <v>1.0875723465011939</v>
      </c>
      <c r="V83" s="31">
        <v>1.0464782385558999</v>
      </c>
      <c r="W83" s="31">
        <v>1.0075706397177411</v>
      </c>
      <c r="X83" s="31">
        <v>0.96992396781191037</v>
      </c>
      <c r="Y83" s="31">
        <v>0.93286908888039299</v>
      </c>
      <c r="Z83" s="31">
        <v>0.89599331718198261</v>
      </c>
      <c r="AA83" s="31">
        <v>0.85914041519225415</v>
      </c>
      <c r="AB83" s="31">
        <v>0.82241059360355184</v>
      </c>
      <c r="AC83" s="31">
        <v>0.78616051132505049</v>
      </c>
      <c r="AD83" s="31">
        <v>0.75100327548267032</v>
      </c>
      <c r="AE83" s="31">
        <v>0.71780844141914146</v>
      </c>
      <c r="AF83" s="31">
        <v>0.68770201269399356</v>
      </c>
      <c r="AG83" s="31">
        <v>0.66206644108352131</v>
      </c>
      <c r="AH83" s="32">
        <v>0.64254062658084987</v>
      </c>
    </row>
    <row r="84" spans="1:34" x14ac:dyDescent="0.25">
      <c r="A84" s="30">
        <v>-114</v>
      </c>
      <c r="B84" s="31">
        <v>5.4428748894594543</v>
      </c>
      <c r="C84" s="31">
        <v>4.8367276769424521</v>
      </c>
      <c r="D84" s="31">
        <v>4.2996533829237764</v>
      </c>
      <c r="E84" s="31">
        <v>3.825829071289863</v>
      </c>
      <c r="F84" s="31">
        <v>3.409688254143926</v>
      </c>
      <c r="G84" s="31">
        <v>3.045920891805995</v>
      </c>
      <c r="H84" s="31">
        <v>2.7294733928128632</v>
      </c>
      <c r="I84" s="31">
        <v>2.45554861391813</v>
      </c>
      <c r="J84" s="31">
        <v>2.2196058600921749</v>
      </c>
      <c r="K84" s="31">
        <v>2.0173608845221711</v>
      </c>
      <c r="L84" s="31">
        <v>1.8447858886120809</v>
      </c>
      <c r="M84" s="31">
        <v>1.698109521982663</v>
      </c>
      <c r="N84" s="31">
        <v>1.573816882471458</v>
      </c>
      <c r="O84" s="31">
        <v>1.4686495161327939</v>
      </c>
      <c r="P84" s="31">
        <v>1.379605417237791</v>
      </c>
      <c r="Q84" s="31">
        <v>1.303939028274373</v>
      </c>
      <c r="R84" s="31">
        <v>1.239161239947228</v>
      </c>
      <c r="S84" s="31">
        <v>1.183039391177849</v>
      </c>
      <c r="T84" s="31">
        <v>1.1335972691045271</v>
      </c>
      <c r="U84" s="31">
        <v>1.0891151090823219</v>
      </c>
      <c r="V84" s="31">
        <v>1.048129594683106</v>
      </c>
      <c r="W84" s="31">
        <v>1.0094338576955191</v>
      </c>
      <c r="X84" s="31">
        <v>0.97207747812501732</v>
      </c>
      <c r="Y84" s="31">
        <v>0.93536648419380874</v>
      </c>
      <c r="Z84" s="31">
        <v>0.89886335234091064</v>
      </c>
      <c r="AA84" s="31">
        <v>0.86238700722216399</v>
      </c>
      <c r="AB84" s="31">
        <v>0.82601282171014045</v>
      </c>
      <c r="AC84" s="31">
        <v>0.79007261689423203</v>
      </c>
      <c r="AD84" s="31">
        <v>0.75515466208064563</v>
      </c>
      <c r="AE84" s="31">
        <v>0.72210367479229765</v>
      </c>
      <c r="AF84" s="31">
        <v>0.69202082076899529</v>
      </c>
      <c r="AG84" s="31">
        <v>0.66626371396724682</v>
      </c>
      <c r="AH84" s="32">
        <v>0.64644641656041901</v>
      </c>
    </row>
    <row r="85" spans="1:34" x14ac:dyDescent="0.25">
      <c r="A85" s="30">
        <v>-108</v>
      </c>
      <c r="B85" s="31">
        <v>5.4957491556276992</v>
      </c>
      <c r="C85" s="31">
        <v>4.8829708078402856</v>
      </c>
      <c r="D85" s="31">
        <v>4.339842971029376</v>
      </c>
      <c r="E85" s="31">
        <v>3.8605178712616461</v>
      </c>
      <c r="F85" s="31">
        <v>3.4394041828205508</v>
      </c>
      <c r="G85" s="31">
        <v>3.0711670282063488</v>
      </c>
      <c r="H85" s="31">
        <v>2.7507279781360818</v>
      </c>
      <c r="I85" s="31">
        <v>2.4732650515435788</v>
      </c>
      <c r="J85" s="31">
        <v>2.234212715579468</v>
      </c>
      <c r="K85" s="31">
        <v>2.0292618856111488</v>
      </c>
      <c r="L85" s="31">
        <v>1.854359925222832</v>
      </c>
      <c r="M85" s="31">
        <v>1.7057106462155029</v>
      </c>
      <c r="N85" s="31">
        <v>1.5797743086069469</v>
      </c>
      <c r="O85" s="31">
        <v>1.4732676206317361</v>
      </c>
      <c r="P85" s="31">
        <v>1.3831637387412219</v>
      </c>
      <c r="Q85" s="31">
        <v>1.3066922676035611</v>
      </c>
      <c r="R85" s="31">
        <v>1.241339260103687</v>
      </c>
      <c r="S85" s="31">
        <v>1.184847217343332</v>
      </c>
      <c r="T85" s="31">
        <v>1.1352150886410239</v>
      </c>
      <c r="U85" s="31">
        <v>1.0906982715320559</v>
      </c>
      <c r="V85" s="31">
        <v>1.049808611768541</v>
      </c>
      <c r="W85" s="31">
        <v>1.011314403319356</v>
      </c>
      <c r="X85" s="31">
        <v>0.97424038837019122</v>
      </c>
      <c r="Y85" s="31">
        <v>0.93786775732350591</v>
      </c>
      <c r="Z85" s="31">
        <v>0.90173414879854985</v>
      </c>
      <c r="AA85" s="31">
        <v>0.86563364963140543</v>
      </c>
      <c r="AB85" s="31">
        <v>0.82961679487485895</v>
      </c>
      <c r="AC85" s="31">
        <v>0.79399056779858068</v>
      </c>
      <c r="AD85" s="31">
        <v>0.75931839988897187</v>
      </c>
      <c r="AE85" s="31">
        <v>0.72642017084922761</v>
      </c>
      <c r="AF85" s="31">
        <v>0.69637220859937476</v>
      </c>
      <c r="AG85" s="31">
        <v>0.67050728927614156</v>
      </c>
      <c r="AH85" s="32">
        <v>0.6504146372331655</v>
      </c>
    </row>
    <row r="86" spans="1:34" x14ac:dyDescent="0.25">
      <c r="A86" s="30">
        <v>-101</v>
      </c>
      <c r="B86" s="31">
        <v>5.5583740772364454</v>
      </c>
      <c r="C86" s="31">
        <v>4.9377853904475231</v>
      </c>
      <c r="D86" s="31">
        <v>4.3875241129351483</v>
      </c>
      <c r="E86" s="31">
        <v>3.901713493309602</v>
      </c>
      <c r="F86" s="31">
        <v>3.474733228397958</v>
      </c>
      <c r="G86" s="31">
        <v>3.101219463244083</v>
      </c>
      <c r="H86" s="31">
        <v>2.7760647911086251</v>
      </c>
      <c r="I86" s="31">
        <v>2.4944182534690298</v>
      </c>
      <c r="J86" s="31">
        <v>2.2516853400195318</v>
      </c>
      <c r="K86" s="31">
        <v>2.0435279886711482</v>
      </c>
      <c r="L86" s="31">
        <v>1.8658645855516971</v>
      </c>
      <c r="M86" s="31">
        <v>1.714869965005773</v>
      </c>
      <c r="N86" s="31">
        <v>1.586975409594777</v>
      </c>
      <c r="O86" s="31">
        <v>1.4788686500968871</v>
      </c>
      <c r="P86" s="31">
        <v>1.3874938655070701</v>
      </c>
      <c r="Q86" s="31">
        <v>1.310051683037091</v>
      </c>
      <c r="R86" s="31">
        <v>1.243999178115496</v>
      </c>
      <c r="S86" s="31">
        <v>1.187049874387631</v>
      </c>
      <c r="T86" s="31">
        <v>1.1371737437156211</v>
      </c>
      <c r="U86" s="31">
        <v>1.092597206178398</v>
      </c>
      <c r="V86" s="31">
        <v>1.0518031300716559</v>
      </c>
      <c r="W86" s="31">
        <v>1.0135308319079019</v>
      </c>
      <c r="X86" s="31">
        <v>0.97677607641643294</v>
      </c>
      <c r="Y86" s="31">
        <v>0.94079107654331073</v>
      </c>
      <c r="Z86" s="31">
        <v>0.90508449345142028</v>
      </c>
      <c r="AA86" s="31">
        <v>0.86942143652041559</v>
      </c>
      <c r="AB86" s="31">
        <v>0.83382346334673896</v>
      </c>
      <c r="AC86" s="31">
        <v>0.7985685797436336</v>
      </c>
      <c r="AD86" s="31">
        <v>0.76419123974113401</v>
      </c>
      <c r="AE86" s="31">
        <v>0.73148234558603431</v>
      </c>
      <c r="AF86" s="31">
        <v>0.7014892477419713</v>
      </c>
      <c r="AG86" s="31">
        <v>0.67551574488931343</v>
      </c>
      <c r="AH86" s="32">
        <v>0.65512208392528848</v>
      </c>
    </row>
    <row r="87" spans="1:34" x14ac:dyDescent="0.25">
      <c r="A87" s="30">
        <v>-95</v>
      </c>
      <c r="B87" s="31">
        <v>5.6128599354947024</v>
      </c>
      <c r="C87" s="31">
        <v>4.985513106101374</v>
      </c>
      <c r="D87" s="31">
        <v>4.4290764905922018</v>
      </c>
      <c r="E87" s="31">
        <v>3.9376484997577048</v>
      </c>
      <c r="F87" s="31">
        <v>3.505583992605187</v>
      </c>
      <c r="G87" s="31">
        <v>3.1274942763587621</v>
      </c>
      <c r="H87" s="31">
        <v>2.7982471064593128</v>
      </c>
      <c r="I87" s="31">
        <v>2.5129666865645248</v>
      </c>
      <c r="J87" s="31">
        <v>2.2670336685488661</v>
      </c>
      <c r="K87" s="31">
        <v>2.0560851525035959</v>
      </c>
      <c r="L87" s="31">
        <v>1.8760146867367651</v>
      </c>
      <c r="M87" s="31">
        <v>1.722972267773216</v>
      </c>
      <c r="N87" s="31">
        <v>1.593364340354579</v>
      </c>
      <c r="O87" s="31">
        <v>1.483853797439274</v>
      </c>
      <c r="P87" s="31">
        <v>1.3913599802025041</v>
      </c>
      <c r="Q87" s="31">
        <v>1.313058678036277</v>
      </c>
      <c r="R87" s="31">
        <v>1.246382128549371</v>
      </c>
      <c r="S87" s="31">
        <v>1.1890190175673709</v>
      </c>
      <c r="T87" s="31">
        <v>1.138914479132652</v>
      </c>
      <c r="U87" s="31">
        <v>1.0942700955043561</v>
      </c>
      <c r="V87" s="31">
        <v>1.053543897158447</v>
      </c>
      <c r="W87" s="31">
        <v>1.0154503627876541</v>
      </c>
      <c r="X87" s="31">
        <v>0.97896041930151156</v>
      </c>
      <c r="Y87" s="31">
        <v>0.94330144182632303</v>
      </c>
      <c r="Z87" s="31">
        <v>0.90795725370519498</v>
      </c>
      <c r="AA87" s="31">
        <v>0.87266812649805203</v>
      </c>
      <c r="AB87" s="31">
        <v>0.83743077998155968</v>
      </c>
      <c r="AC87" s="31">
        <v>0.80249838214919578</v>
      </c>
      <c r="AD87" s="31">
        <v>0.76838054921122612</v>
      </c>
      <c r="AE87" s="31">
        <v>0.73584334559470266</v>
      </c>
      <c r="AF87" s="31">
        <v>0.70590928394348396</v>
      </c>
      <c r="AG87" s="31">
        <v>0.67985732511817776</v>
      </c>
      <c r="AH87" s="32">
        <v>0.65922287819624248</v>
      </c>
    </row>
    <row r="88" spans="1:34" x14ac:dyDescent="0.25">
      <c r="A88" s="30">
        <v>-89</v>
      </c>
      <c r="B88" s="31">
        <v>5.6680939253727054</v>
      </c>
      <c r="C88" s="31">
        <v>5.0339301611120222</v>
      </c>
      <c r="D88" s="31">
        <v>4.4712618209412964</v>
      </c>
      <c r="E88" s="31">
        <v>3.974162477831285</v>
      </c>
      <c r="F88" s="31">
        <v>3.5369621529695339</v>
      </c>
      <c r="G88" s="31">
        <v>3.1542473157603941</v>
      </c>
      <c r="H88" s="31">
        <v>2.820860883824984</v>
      </c>
      <c r="I88" s="31">
        <v>2.53190222300123</v>
      </c>
      <c r="J88" s="31">
        <v>2.282727147343834</v>
      </c>
      <c r="K88" s="31">
        <v>2.068947919124303</v>
      </c>
      <c r="L88" s="31">
        <v>1.886433248830917</v>
      </c>
      <c r="M88" s="31">
        <v>1.7313082951687591</v>
      </c>
      <c r="N88" s="31">
        <v>1.599954665059697</v>
      </c>
      <c r="O88" s="31">
        <v>1.489010413642391</v>
      </c>
      <c r="P88" s="31">
        <v>1.3953700442722741</v>
      </c>
      <c r="Q88" s="31">
        <v>1.316184508521606</v>
      </c>
      <c r="R88" s="31">
        <v>1.2488612061793971</v>
      </c>
      <c r="S88" s="31">
        <v>1.191063985251462</v>
      </c>
      <c r="T88" s="31">
        <v>1.1407131419604259</v>
      </c>
      <c r="U88" s="31">
        <v>1.095985420745665</v>
      </c>
      <c r="V88" s="31">
        <v>1.0553140142633699</v>
      </c>
      <c r="W88" s="31">
        <v>1.0173885633865241</v>
      </c>
      <c r="X88" s="31">
        <v>0.98115515720489355</v>
      </c>
      <c r="Y88" s="31">
        <v>0.94581633302502321</v>
      </c>
      <c r="Z88" s="31">
        <v>0.91083107637026128</v>
      </c>
      <c r="AA88" s="31">
        <v>0.8759148209807569</v>
      </c>
      <c r="AB88" s="31">
        <v>0.84103944881341142</v>
      </c>
      <c r="AC88" s="31">
        <v>0.80643329004194808</v>
      </c>
      <c r="AD88" s="31">
        <v>0.77258112305689863</v>
      </c>
      <c r="AE88" s="31">
        <v>0.74022417446551003</v>
      </c>
      <c r="AF88" s="31">
        <v>0.71036011909190577</v>
      </c>
      <c r="AG88" s="31">
        <v>0.68424307997690892</v>
      </c>
      <c r="AH88" s="32">
        <v>0.66338362837823439</v>
      </c>
    </row>
    <row r="89" spans="1:34" x14ac:dyDescent="0.25">
      <c r="A89" s="30">
        <v>-83</v>
      </c>
      <c r="B89" s="31">
        <v>5.7240787821510946</v>
      </c>
      <c r="C89" s="31">
        <v>5.0830391811853062</v>
      </c>
      <c r="D89" s="31">
        <v>4.5140826201134763</v>
      </c>
      <c r="E89" s="31">
        <v>4.011257834086603</v>
      </c>
      <c r="F89" s="31">
        <v>3.568870006472467</v>
      </c>
      <c r="G89" s="31">
        <v>3.181480768855653</v>
      </c>
      <c r="H89" s="31">
        <v>2.8439082010375261</v>
      </c>
      <c r="I89" s="31">
        <v>2.5512268310362418</v>
      </c>
      <c r="J89" s="31">
        <v>2.2987676350867532</v>
      </c>
      <c r="K89" s="31">
        <v>2.082118037640786</v>
      </c>
      <c r="L89" s="31">
        <v>1.897121911366874</v>
      </c>
      <c r="M89" s="31">
        <v>1.739879577150335</v>
      </c>
      <c r="N89" s="31">
        <v>1.606747804093269</v>
      </c>
      <c r="O89" s="31">
        <v>1.4943398095145839</v>
      </c>
      <c r="P89" s="31">
        <v>1.399525258949945</v>
      </c>
      <c r="Q89" s="31">
        <v>1.319430266151848</v>
      </c>
      <c r="R89" s="31">
        <v>1.2514373930895439</v>
      </c>
      <c r="S89" s="31">
        <v>1.19318564994909</v>
      </c>
      <c r="T89" s="31">
        <v>1.1425704951333371</v>
      </c>
      <c r="U89" s="31">
        <v>1.097743835261912</v>
      </c>
      <c r="V89" s="31">
        <v>1.0571140251712481</v>
      </c>
      <c r="W89" s="31">
        <v>1.019345867914542</v>
      </c>
      <c r="X89" s="31">
        <v>0.98336061476182812</v>
      </c>
      <c r="Y89" s="31">
        <v>0.94833596519986507</v>
      </c>
      <c r="Z89" s="31">
        <v>0.91370606693224599</v>
      </c>
      <c r="AA89" s="31">
        <v>0.8791615158793693</v>
      </c>
      <c r="AB89" s="31">
        <v>0.84464935617835657</v>
      </c>
      <c r="AC89" s="31">
        <v>0.81037308018319731</v>
      </c>
      <c r="AD89" s="31">
        <v>0.77679262846462271</v>
      </c>
      <c r="AE89" s="31">
        <v>0.74462438981014512</v>
      </c>
      <c r="AF89" s="31">
        <v>0.71484120122411465</v>
      </c>
      <c r="AG89" s="31">
        <v>0.68867234792761078</v>
      </c>
      <c r="AH89" s="32">
        <v>0.66760356335856486</v>
      </c>
    </row>
    <row r="90" spans="1:34" x14ac:dyDescent="0.25">
      <c r="A90" s="30">
        <v>-76</v>
      </c>
      <c r="B90" s="31">
        <v>5.7903471168120522</v>
      </c>
      <c r="C90" s="31">
        <v>5.1412111147944479</v>
      </c>
      <c r="D90" s="31">
        <v>4.564846744850966</v>
      </c>
      <c r="E90" s="31">
        <v>4.0552737646762163</v>
      </c>
      <c r="F90" s="31">
        <v>3.6067683801815962</v>
      </c>
      <c r="G90" s="31">
        <v>3.213863245495296</v>
      </c>
      <c r="H90" s="31">
        <v>2.8713474629622961</v>
      </c>
      <c r="I90" s="31">
        <v>2.574266583144361</v>
      </c>
      <c r="J90" s="31">
        <v>2.317922604820053</v>
      </c>
      <c r="K90" s="31">
        <v>2.0978739749847142</v>
      </c>
      <c r="L90" s="31">
        <v>1.909935588850485</v>
      </c>
      <c r="M90" s="31">
        <v>1.750178789846291</v>
      </c>
      <c r="N90" s="31">
        <v>1.614931369617856</v>
      </c>
      <c r="O90" s="31">
        <v>1.50077756802768</v>
      </c>
      <c r="P90" s="31">
        <v>1.40455807315506</v>
      </c>
      <c r="Q90" s="31">
        <v>1.3233700212960879</v>
      </c>
      <c r="R90" s="31">
        <v>1.2545669969636291</v>
      </c>
      <c r="S90" s="31">
        <v>1.1957590328873591</v>
      </c>
      <c r="T90" s="31">
        <v>1.144812610013731</v>
      </c>
      <c r="U90" s="31">
        <v>1.099850657505991</v>
      </c>
      <c r="V90" s="31">
        <v>1.059252552744165</v>
      </c>
      <c r="W90" s="31">
        <v>1.021654121325094</v>
      </c>
      <c r="X90" s="31">
        <v>0.9859476370623812</v>
      </c>
      <c r="Y90" s="31">
        <v>0.9512818219864414</v>
      </c>
      <c r="Z90" s="31">
        <v>0.91706184634444743</v>
      </c>
      <c r="AA90" s="31">
        <v>0.88294932860041286</v>
      </c>
      <c r="AB90" s="31">
        <v>0.84886233543508649</v>
      </c>
      <c r="AC90" s="31">
        <v>0.81497538174605566</v>
      </c>
      <c r="AD90" s="31">
        <v>0.7817194306476517</v>
      </c>
      <c r="AE90" s="31">
        <v>0.74978189347102397</v>
      </c>
      <c r="AF90" s="31">
        <v>0.72010662976411777</v>
      </c>
      <c r="AG90" s="31">
        <v>0.69389394729162046</v>
      </c>
      <c r="AH90" s="32">
        <v>0.67260060203508587</v>
      </c>
    </row>
    <row r="91" spans="1:34" x14ac:dyDescent="0.25">
      <c r="A91" s="30">
        <v>-70</v>
      </c>
      <c r="B91" s="31">
        <v>5.8479682591862039</v>
      </c>
      <c r="C91" s="31">
        <v>5.1918284239126384</v>
      </c>
      <c r="D91" s="31">
        <v>4.6090530486466266</v>
      </c>
      <c r="E91" s="31">
        <v>4.093637053263012</v>
      </c>
      <c r="F91" s="31">
        <v>3.6398318058534289</v>
      </c>
      <c r="G91" s="31">
        <v>3.2421451227263098</v>
      </c>
      <c r="H91" s="31">
        <v>2.8953412684068689</v>
      </c>
      <c r="I91" s="31">
        <v>2.594440955637114</v>
      </c>
      <c r="J91" s="31">
        <v>2.3347213453758409</v>
      </c>
      <c r="K91" s="31">
        <v>2.1117160467986329</v>
      </c>
      <c r="L91" s="31">
        <v>1.9212151172978671</v>
      </c>
      <c r="M91" s="31">
        <v>1.7592650624827091</v>
      </c>
      <c r="N91" s="31">
        <v>1.622168836179116</v>
      </c>
      <c r="O91" s="31">
        <v>1.5064858404298269</v>
      </c>
      <c r="P91" s="31">
        <v>1.4090319254943811</v>
      </c>
      <c r="Q91" s="31">
        <v>1.3268793898491089</v>
      </c>
      <c r="R91" s="31">
        <v>1.257356980187105</v>
      </c>
      <c r="S91" s="31">
        <v>1.198049891418296</v>
      </c>
      <c r="T91" s="31">
        <v>1.146799766669367</v>
      </c>
      <c r="U91" s="31">
        <v>1.1017046972837909</v>
      </c>
      <c r="V91" s="31">
        <v>1.0611192228218529</v>
      </c>
      <c r="W91" s="31">
        <v>1.0236543310606161</v>
      </c>
      <c r="X91" s="31">
        <v>0.98817745799393997</v>
      </c>
      <c r="Y91" s="31">
        <v>0.95381248783244221</v>
      </c>
      <c r="Z91" s="31">
        <v>0.91993975300356123</v>
      </c>
      <c r="AA91" s="31">
        <v>0.88619603415156512</v>
      </c>
      <c r="AB91" s="31">
        <v>0.85247456013739664</v>
      </c>
      <c r="AC91" s="31">
        <v>0.81892500803890311</v>
      </c>
      <c r="AD91" s="31">
        <v>0.78595350315067591</v>
      </c>
      <c r="AE91" s="31">
        <v>0.75422261898406617</v>
      </c>
      <c r="AF91" s="31">
        <v>0.72465137726726803</v>
      </c>
      <c r="AG91" s="31">
        <v>0.69841524794522059</v>
      </c>
      <c r="AH91" s="32">
        <v>0.67694614917969187</v>
      </c>
    </row>
    <row r="92" spans="1:34" x14ac:dyDescent="0.25">
      <c r="A92" s="30">
        <v>-64</v>
      </c>
      <c r="B92" s="31">
        <v>5.9063489631080932</v>
      </c>
      <c r="C92" s="31">
        <v>5.2431460457539867</v>
      </c>
      <c r="D92" s="31">
        <v>4.653902821939055</v>
      </c>
      <c r="E92" s="31">
        <v>4.1325893737183819</v>
      </c>
      <c r="F92" s="31">
        <v>3.6734322313638481</v>
      </c>
      <c r="G92" s="31">
        <v>3.2709143733641159</v>
      </c>
      <c r="H92" s="31">
        <v>2.9197752264246408</v>
      </c>
      <c r="I92" s="31">
        <v>2.615010665467663</v>
      </c>
      <c r="J92" s="31">
        <v>2.3518730136322228</v>
      </c>
      <c r="K92" s="31">
        <v>2.125871042274138</v>
      </c>
      <c r="L92" s="31">
        <v>1.9327699709660271</v>
      </c>
      <c r="M92" s="31">
        <v>1.768591467497288</v>
      </c>
      <c r="N92" s="31">
        <v>1.629613647874125</v>
      </c>
      <c r="O92" s="31">
        <v>1.51237107631951</v>
      </c>
      <c r="P92" s="31">
        <v>1.4136547652732161</v>
      </c>
      <c r="Q92" s="31">
        <v>1.330512175391815</v>
      </c>
      <c r="R92" s="31">
        <v>1.260247215548649</v>
      </c>
      <c r="S92" s="31">
        <v>1.200420242833862</v>
      </c>
      <c r="T92" s="31">
        <v>1.1488480625543971</v>
      </c>
      <c r="U92" s="31">
        <v>1.1036039282339629</v>
      </c>
      <c r="V92" s="31">
        <v>1.0630175416130729</v>
      </c>
      <c r="W92" s="31">
        <v>1.0256750526490319</v>
      </c>
      <c r="X92" s="31">
        <v>0.99041905951593423</v>
      </c>
      <c r="Y92" s="31">
        <v>0.95634860860464033</v>
      </c>
      <c r="Z92" s="31">
        <v>0.92281919452284955</v>
      </c>
      <c r="AA92" s="31">
        <v>0.88944276009500622</v>
      </c>
      <c r="AB92" s="31">
        <v>0.85608769636236526</v>
      </c>
      <c r="AC92" s="31">
        <v>0.82287884258295863</v>
      </c>
      <c r="AD92" s="31">
        <v>0.79019748623162978</v>
      </c>
      <c r="AE92" s="31">
        <v>0.75868136299997269</v>
      </c>
      <c r="AF92" s="31">
        <v>0.72922465679643245</v>
      </c>
      <c r="AG92" s="31">
        <v>0.70297799974616737</v>
      </c>
      <c r="AH92" s="32">
        <v>0.68134847219120676</v>
      </c>
    </row>
    <row r="93" spans="1:34" x14ac:dyDescent="0.25">
      <c r="A93" s="30">
        <v>-58</v>
      </c>
      <c r="B93" s="31">
        <v>5.9654919846533074</v>
      </c>
      <c r="C93" s="31">
        <v>5.2951666268192792</v>
      </c>
      <c r="D93" s="31">
        <v>4.6993986016542504</v>
      </c>
      <c r="E93" s="31">
        <v>4.1721331533935473</v>
      </c>
      <c r="F93" s="31">
        <v>3.7075719744892708</v>
      </c>
      <c r="G93" s="31">
        <v>3.300173205610339</v>
      </c>
      <c r="H93" s="31">
        <v>2.9446514356424349</v>
      </c>
      <c r="I93" s="31">
        <v>2.635977701688045</v>
      </c>
      <c r="J93" s="31">
        <v>2.3693794890664419</v>
      </c>
      <c r="K93" s="31">
        <v>2.1403407313136849</v>
      </c>
      <c r="L93" s="31">
        <v>1.9446018101826239</v>
      </c>
      <c r="M93" s="31">
        <v>1.778159555642908</v>
      </c>
      <c r="N93" s="31">
        <v>1.6372672458809641</v>
      </c>
      <c r="O93" s="31">
        <v>1.5184346073000099</v>
      </c>
      <c r="P93" s="31">
        <v>1.4184278145200659</v>
      </c>
      <c r="Q93" s="31">
        <v>1.334269490377926</v>
      </c>
      <c r="R93" s="31">
        <v>1.263238705927173</v>
      </c>
      <c r="S93" s="31">
        <v>1.2028709804381961</v>
      </c>
      <c r="T93" s="31">
        <v>1.150958281398168</v>
      </c>
      <c r="U93" s="31">
        <v>1.105549024511048</v>
      </c>
      <c r="V93" s="31">
        <v>1.0649480736975721</v>
      </c>
      <c r="W93" s="31">
        <v>1.027716741095297</v>
      </c>
      <c r="X93" s="31">
        <v>0.99267278705855622</v>
      </c>
      <c r="Y93" s="31">
        <v>0.95889042015843484</v>
      </c>
      <c r="Z93" s="31">
        <v>0.92570029718286606</v>
      </c>
      <c r="AA93" s="31">
        <v>0.89268952313656269</v>
      </c>
      <c r="AB93" s="31">
        <v>0.85970165124097497</v>
      </c>
      <c r="AC93" s="31">
        <v>0.82683668293440959</v>
      </c>
      <c r="AD93" s="31">
        <v>0.79445106787193609</v>
      </c>
      <c r="AE93" s="31">
        <v>0.76315770392539439</v>
      </c>
      <c r="AF93" s="31">
        <v>0.73382593718344347</v>
      </c>
      <c r="AG93" s="31">
        <v>0.70758156195148569</v>
      </c>
      <c r="AH93" s="32">
        <v>0.68580682075180377</v>
      </c>
    </row>
    <row r="94" spans="1:34" x14ac:dyDescent="0.25">
      <c r="A94" s="30">
        <v>-51</v>
      </c>
      <c r="B94" s="31">
        <v>6.0354593450596816</v>
      </c>
      <c r="C94" s="31">
        <v>5.3567493047267121</v>
      </c>
      <c r="D94" s="31">
        <v>4.7532968831230367</v>
      </c>
      <c r="E94" s="31">
        <v>4.2190183470275846</v>
      </c>
      <c r="F94" s="31">
        <v>3.7480864114360788</v>
      </c>
      <c r="G94" s="31">
        <v>3.334930239561039</v>
      </c>
      <c r="H94" s="31">
        <v>2.974235442831767</v>
      </c>
      <c r="I94" s="31">
        <v>2.660944080894355</v>
      </c>
      <c r="J94" s="31">
        <v>2.3902546616116891</v>
      </c>
      <c r="K94" s="31">
        <v>2.157622141063436</v>
      </c>
      <c r="L94" s="31">
        <v>1.958757923546063</v>
      </c>
      <c r="M94" s="31">
        <v>1.7896298615728219</v>
      </c>
      <c r="N94" s="31">
        <v>1.64646225587376</v>
      </c>
      <c r="O94" s="31">
        <v>1.525735855395707</v>
      </c>
      <c r="P94" s="31">
        <v>1.4241878573022799</v>
      </c>
      <c r="Q94" s="31">
        <v>1.338811906973894</v>
      </c>
      <c r="R94" s="31">
        <v>1.2668580980077471</v>
      </c>
      <c r="S94" s="31">
        <v>1.2058329722178389</v>
      </c>
      <c r="T94" s="31">
        <v>1.1534995196349449</v>
      </c>
      <c r="U94" s="31">
        <v>1.1078771785066319</v>
      </c>
      <c r="V94" s="31">
        <v>1.0672418352972679</v>
      </c>
      <c r="W94" s="31">
        <v>1.0301258246879981</v>
      </c>
      <c r="X94" s="31">
        <v>0.99531792957677112</v>
      </c>
      <c r="Y94" s="31">
        <v>0.96186338107831493</v>
      </c>
      <c r="Z94" s="31">
        <v>0.92906385852412032</v>
      </c>
      <c r="AA94" s="31">
        <v>0.89647748946254602</v>
      </c>
      <c r="AB94" s="31">
        <v>0.86391884965865451</v>
      </c>
      <c r="AC94" s="31">
        <v>0.8314589630943453</v>
      </c>
      <c r="AD94" s="31">
        <v>0.7994253019683093</v>
      </c>
      <c r="AE94" s="31">
        <v>0.76840178669599679</v>
      </c>
      <c r="AF94" s="31">
        <v>0.73922878590969188</v>
      </c>
      <c r="AG94" s="31">
        <v>0.71300311645837056</v>
      </c>
      <c r="AH94" s="32">
        <v>0.69107804340795898</v>
      </c>
    </row>
    <row r="95" spans="1:34" x14ac:dyDescent="0.25">
      <c r="A95" s="30">
        <v>-45</v>
      </c>
      <c r="B95" s="31">
        <v>6.0962635334385684</v>
      </c>
      <c r="C95" s="31">
        <v>5.4103020668579616</v>
      </c>
      <c r="D95" s="31">
        <v>4.8002010702658939</v>
      </c>
      <c r="E95" s="31">
        <v>4.2598519726215391</v>
      </c>
      <c r="F95" s="31">
        <v>3.7834026511008569</v>
      </c>
      <c r="G95" s="31">
        <v>3.3652574310966039</v>
      </c>
      <c r="H95" s="31">
        <v>3.000077086218321</v>
      </c>
      <c r="I95" s="31">
        <v>2.6827788382923381</v>
      </c>
      <c r="J95" s="31">
        <v>2.4085363573617791</v>
      </c>
      <c r="K95" s="31">
        <v>2.1727797616865479</v>
      </c>
      <c r="L95" s="31">
        <v>1.9711956177433549</v>
      </c>
      <c r="M95" s="31">
        <v>1.7997269402256859</v>
      </c>
      <c r="N95" s="31">
        <v>1.654573192043824</v>
      </c>
      <c r="O95" s="31">
        <v>1.5321902843248381</v>
      </c>
      <c r="P95" s="31">
        <v>1.4292905764125881</v>
      </c>
      <c r="Q95" s="31">
        <v>1.342842875867722</v>
      </c>
      <c r="R95" s="31">
        <v>1.270072438467678</v>
      </c>
      <c r="S95" s="31">
        <v>1.2084609682066929</v>
      </c>
      <c r="T95" s="31">
        <v>1.1557466172957831</v>
      </c>
      <c r="U95" s="31">
        <v>1.109923986162753</v>
      </c>
      <c r="V95" s="31">
        <v>1.069244123452211</v>
      </c>
      <c r="W95" s="31">
        <v>1.0322145260255271</v>
      </c>
      <c r="X95" s="31">
        <v>0.99759913896089703</v>
      </c>
      <c r="Y95" s="31">
        <v>0.96441835555328848</v>
      </c>
      <c r="Z95" s="31">
        <v>0.93194901731443736</v>
      </c>
      <c r="AA95" s="31">
        <v>0.8997244139729228</v>
      </c>
      <c r="AB95" s="31">
        <v>0.86753428347406103</v>
      </c>
      <c r="AC95" s="31">
        <v>0.8354248119799762</v>
      </c>
      <c r="AD95" s="31">
        <v>0.8036986338696116</v>
      </c>
      <c r="AE95" s="31">
        <v>0.77291483173863906</v>
      </c>
      <c r="AF95" s="31">
        <v>0.74388893639959608</v>
      </c>
      <c r="AG95" s="31">
        <v>0.71769292688171027</v>
      </c>
      <c r="AH95" s="32">
        <v>0.69565523043109678</v>
      </c>
    </row>
    <row r="96" spans="1:34" x14ac:dyDescent="0.25">
      <c r="A96" s="30">
        <v>-39</v>
      </c>
      <c r="B96" s="31">
        <v>6.1578387999387987</v>
      </c>
      <c r="C96" s="31">
        <v>5.4645662017243373</v>
      </c>
      <c r="D96" s="31">
        <v>4.8477593303558626</v>
      </c>
      <c r="E96" s="31">
        <v>4.3012847769727873</v>
      </c>
      <c r="F96" s="31">
        <v>3.8192655809313059</v>
      </c>
      <c r="G96" s="31">
        <v>3.3960812298044138</v>
      </c>
      <c r="H96" s="31">
        <v>3.0263676593818931</v>
      </c>
      <c r="I96" s="31">
        <v>2.7050172536703072</v>
      </c>
      <c r="J96" s="31">
        <v>2.4271788448930209</v>
      </c>
      <c r="K96" s="31">
        <v>2.1882577134901799</v>
      </c>
      <c r="L96" s="31">
        <v>1.983915588118726</v>
      </c>
      <c r="M96" s="31">
        <v>1.810070645652385</v>
      </c>
      <c r="N96" s="31">
        <v>1.6628975111816779</v>
      </c>
      <c r="O96" s="31">
        <v>1.538827258013916</v>
      </c>
      <c r="P96" s="31">
        <v>1.434547407673191</v>
      </c>
      <c r="Q96" s="31">
        <v>1.347001929900395</v>
      </c>
      <c r="R96" s="31">
        <v>1.273391242653199</v>
      </c>
      <c r="S96" s="31">
        <v>1.2111722121060799</v>
      </c>
      <c r="T96" s="31">
        <v>1.1580581526502951</v>
      </c>
      <c r="U96" s="31">
        <v>1.112018826893878</v>
      </c>
      <c r="V96" s="31">
        <v>1.0712804456616769</v>
      </c>
      <c r="W96" s="31">
        <v>1.034325667995315</v>
      </c>
      <c r="X96" s="31">
        <v>0.99989360115322856</v>
      </c>
      <c r="Y96" s="31">
        <v>0.96697980061058786</v>
      </c>
      <c r="Z96" s="31">
        <v>0.93483627005938885</v>
      </c>
      <c r="AA96" s="31">
        <v>0.90297146140845197</v>
      </c>
      <c r="AB96" s="31">
        <v>0.87115027478333407</v>
      </c>
      <c r="AC96" s="31">
        <v>0.83939405852639848</v>
      </c>
      <c r="AD96" s="31">
        <v>0.80798060919681081</v>
      </c>
      <c r="AE96" s="31">
        <v>0.77744417157050127</v>
      </c>
      <c r="AF96" s="31">
        <v>0.74857543864022358</v>
      </c>
      <c r="AG96" s="31">
        <v>0.72242155161545796</v>
      </c>
      <c r="AH96" s="32">
        <v>0.70028609992255753</v>
      </c>
    </row>
    <row r="97" spans="1:34" x14ac:dyDescent="0.25">
      <c r="A97" s="30">
        <v>-33</v>
      </c>
      <c r="B97" s="31">
        <v>6.2201879214308953</v>
      </c>
      <c r="C97" s="31">
        <v>5.5195443766215737</v>
      </c>
      <c r="D97" s="31">
        <v>4.8959742211138852</v>
      </c>
      <c r="E97" s="31">
        <v>4.3433192082274736</v>
      </c>
      <c r="F97" s="31">
        <v>3.8556775394987821</v>
      </c>
      <c r="G97" s="31">
        <v>3.4274038646810379</v>
      </c>
      <c r="H97" s="31">
        <v>3.053109281744256</v>
      </c>
      <c r="I97" s="31">
        <v>2.7276613368752511</v>
      </c>
      <c r="J97" s="31">
        <v>2.446184024477613</v>
      </c>
      <c r="K97" s="31">
        <v>2.2040577871717302</v>
      </c>
      <c r="L97" s="31">
        <v>1.996919515794785</v>
      </c>
      <c r="M97" s="31">
        <v>1.8206625494007409</v>
      </c>
      <c r="N97" s="31">
        <v>1.6714366752603531</v>
      </c>
      <c r="O97" s="31">
        <v>1.5456481288611761</v>
      </c>
      <c r="P97" s="31">
        <v>1.439959593907534</v>
      </c>
      <c r="Q97" s="31">
        <v>1.351290202320562</v>
      </c>
      <c r="R97" s="31">
        <v>1.276815534238166</v>
      </c>
      <c r="S97" s="31">
        <v>1.213967618015064</v>
      </c>
      <c r="T97" s="31">
        <v>1.160434930222751</v>
      </c>
      <c r="U97" s="31">
        <v>1.114162395649495</v>
      </c>
      <c r="V97" s="31">
        <v>1.0733513873003859</v>
      </c>
      <c r="W97" s="31">
        <v>1.0364597263972799</v>
      </c>
      <c r="X97" s="31">
        <v>1.00220168237886</v>
      </c>
      <c r="Y97" s="31">
        <v>0.96954797290052153</v>
      </c>
      <c r="Z97" s="31">
        <v>0.93772576383451955</v>
      </c>
      <c r="AA97" s="31">
        <v>0.9062186692699008</v>
      </c>
      <c r="AB97" s="31">
        <v>0.87476675151244099</v>
      </c>
      <c r="AC97" s="31">
        <v>0.8433665210847785</v>
      </c>
      <c r="AD97" s="31">
        <v>0.81227093672628914</v>
      </c>
      <c r="AE97" s="31">
        <v>0.78198940539314443</v>
      </c>
      <c r="AF97" s="31">
        <v>0.75328778225833704</v>
      </c>
      <c r="AG97" s="31">
        <v>0.72718837071160913</v>
      </c>
      <c r="AH97" s="32">
        <v>0.70496992235952416</v>
      </c>
    </row>
    <row r="98" spans="1:34" x14ac:dyDescent="0.25">
      <c r="A98" s="30">
        <v>-26</v>
      </c>
      <c r="B98" s="31">
        <v>6.2939103414698572</v>
      </c>
      <c r="C98" s="31">
        <v>5.5845916133176603</v>
      </c>
      <c r="D98" s="31">
        <v>4.9530582544075141</v>
      </c>
      <c r="E98" s="31">
        <v>4.3931230406026769</v>
      </c>
      <c r="F98" s="31">
        <v>3.8988551959831939</v>
      </c>
      <c r="G98" s="31">
        <v>3.4645803928459089</v>
      </c>
      <c r="H98" s="31">
        <v>3.0848807517044521</v>
      </c>
      <c r="I98" s="31">
        <v>2.7545948412892378</v>
      </c>
      <c r="J98" s="31">
        <v>2.46881767854748</v>
      </c>
      <c r="K98" s="31">
        <v>2.2229007286431761</v>
      </c>
      <c r="L98" s="31">
        <v>2.012451904957107</v>
      </c>
      <c r="M98" s="31">
        <v>1.83333556908686</v>
      </c>
      <c r="N98" s="31">
        <v>1.681672530846797</v>
      </c>
      <c r="O98" s="31">
        <v>1.5538400482680861</v>
      </c>
      <c r="P98" s="31">
        <v>1.446471827598661</v>
      </c>
      <c r="Q98" s="31">
        <v>1.3564580233032659</v>
      </c>
      <c r="R98" s="31">
        <v>1.2809452380634241</v>
      </c>
      <c r="S98" s="31">
        <v>1.217336522777448</v>
      </c>
      <c r="T98" s="31">
        <v>1.163291376560466</v>
      </c>
      <c r="U98" s="31">
        <v>1.1167257467443441</v>
      </c>
      <c r="V98" s="31">
        <v>1.0758120288777799</v>
      </c>
      <c r="W98" s="31">
        <v>1.0389790667262651</v>
      </c>
      <c r="X98" s="31">
        <v>1.0049121522720521</v>
      </c>
      <c r="Y98" s="31">
        <v>0.97255302571418567</v>
      </c>
      <c r="Z98" s="31">
        <v>0.94109987546852369</v>
      </c>
      <c r="AA98" s="31">
        <v>0.91000733816770185</v>
      </c>
      <c r="AB98" s="31">
        <v>0.87898649866112921</v>
      </c>
      <c r="AC98" s="31">
        <v>0.84800489001504431</v>
      </c>
      <c r="AD98" s="31">
        <v>0.81728649351243365</v>
      </c>
      <c r="AE98" s="31">
        <v>0.78731173865309523</v>
      </c>
      <c r="AF98" s="31">
        <v>0.75881750315365082</v>
      </c>
      <c r="AG98" s="31">
        <v>0.7327971129473666</v>
      </c>
      <c r="AH98" s="32">
        <v>0.71050034218452396</v>
      </c>
    </row>
    <row r="99" spans="1:34" x14ac:dyDescent="0.25">
      <c r="A99" s="30">
        <v>-20</v>
      </c>
      <c r="B99" s="31">
        <v>6.3579456987657048</v>
      </c>
      <c r="C99" s="31">
        <v>5.6411260490340647</v>
      </c>
      <c r="D99" s="31">
        <v>5.0027046431295474</v>
      </c>
      <c r="E99" s="31">
        <v>4.4364694190956433</v>
      </c>
      <c r="F99" s="31">
        <v>3.936464763192645</v>
      </c>
      <c r="G99" s="31">
        <v>3.496991509897629</v>
      </c>
      <c r="H99" s="31">
        <v>3.112606941904462</v>
      </c>
      <c r="I99" s="31">
        <v>2.7781247901238069</v>
      </c>
      <c r="J99" s="31">
        <v>2.4886152336831042</v>
      </c>
      <c r="K99" s="31">
        <v>2.239404899926587</v>
      </c>
      <c r="L99" s="31">
        <v>2.026076864415288</v>
      </c>
      <c r="M99" s="31">
        <v>1.844470650927025</v>
      </c>
      <c r="N99" s="31">
        <v>1.690682231456403</v>
      </c>
      <c r="O99" s="31">
        <v>1.561064026214809</v>
      </c>
      <c r="P99" s="31">
        <v>1.452224903630434</v>
      </c>
      <c r="Q99" s="31">
        <v>1.3610301803482641</v>
      </c>
      <c r="R99" s="31">
        <v>1.2846016212300471</v>
      </c>
      <c r="S99" s="31">
        <v>1.2203174393543379</v>
      </c>
      <c r="T99" s="31">
        <v>1.1658122960164909</v>
      </c>
      <c r="U99" s="31">
        <v>1.1189773007286421</v>
      </c>
      <c r="V99" s="31">
        <v>1.0779600112197101</v>
      </c>
      <c r="W99" s="31">
        <v>1.041164433435402</v>
      </c>
      <c r="X99" s="31">
        <v>1.007251021538248</v>
      </c>
      <c r="Y99" s="31">
        <v>0.97513667790749803</v>
      </c>
      <c r="Z99" s="31">
        <v>0.94399475313926806</v>
      </c>
      <c r="AA99" s="31">
        <v>0.91325504604643359</v>
      </c>
      <c r="AB99" s="31">
        <v>0.88260380365863078</v>
      </c>
      <c r="AC99" s="31">
        <v>0.85198372122232147</v>
      </c>
      <c r="AD99" s="31">
        <v>0.82159394220077409</v>
      </c>
      <c r="AE99" s="31">
        <v>0.7918900582739784</v>
      </c>
      <c r="AF99" s="31">
        <v>0.76358410933881182</v>
      </c>
      <c r="AG99" s="31">
        <v>0.73764458350881046</v>
      </c>
      <c r="AH99" s="32">
        <v>0.71529641711443037</v>
      </c>
    </row>
    <row r="100" spans="1:34" x14ac:dyDescent="0.25">
      <c r="A100" s="30">
        <v>-14</v>
      </c>
      <c r="B100" s="31">
        <v>6.422763737402116</v>
      </c>
      <c r="C100" s="31">
        <v>5.6983830041431878</v>
      </c>
      <c r="D100" s="31">
        <v>5.0530157948946446</v>
      </c>
      <c r="E100" s="31">
        <v>4.4804252098802344</v>
      </c>
      <c r="F100" s="31">
        <v>3.9746307975404638</v>
      </c>
      <c r="G100" s="31">
        <v>3.5299085545326641</v>
      </c>
      <c r="H100" s="31">
        <v>3.1407909257309341</v>
      </c>
      <c r="I100" s="31">
        <v>2.80206680422617</v>
      </c>
      <c r="J100" s="31">
        <v>2.5087815313260591</v>
      </c>
      <c r="K100" s="31">
        <v>2.2562368965550701</v>
      </c>
      <c r="L100" s="31">
        <v>2.0399911376544702</v>
      </c>
      <c r="M100" s="31">
        <v>1.855858940582318</v>
      </c>
      <c r="N100" s="31">
        <v>1.699911439513448</v>
      </c>
      <c r="O100" s="31">
        <v>1.568476216839511</v>
      </c>
      <c r="P100" s="31">
        <v>1.4581373031689091</v>
      </c>
      <c r="Q100" s="31">
        <v>1.365735177326876</v>
      </c>
      <c r="R100" s="31">
        <v>1.288366766355391</v>
      </c>
      <c r="S100" s="31">
        <v>1.2233854455132669</v>
      </c>
      <c r="T100" s="31">
        <v>1.168401038276077</v>
      </c>
      <c r="U100" s="31">
        <v>1.1212798163362041</v>
      </c>
      <c r="V100" s="31">
        <v>1.080144499602792</v>
      </c>
      <c r="W100" s="31">
        <v>1.043374256201808</v>
      </c>
      <c r="X100" s="31">
        <v>1.00960470247599</v>
      </c>
      <c r="Y100" s="31">
        <v>0.97772790298487411</v>
      </c>
      <c r="Z100" s="31">
        <v>0.94689237050476649</v>
      </c>
      <c r="AA100" s="31">
        <v>0.91650306602880249</v>
      </c>
      <c r="AB100" s="31">
        <v>0.88622139876683526</v>
      </c>
      <c r="AC100" s="31">
        <v>0.85596522614560266</v>
      </c>
      <c r="AD100" s="31">
        <v>0.8259088538085918</v>
      </c>
      <c r="AE100" s="31">
        <v>0.79648303561602785</v>
      </c>
      <c r="AF100" s="31">
        <v>0.7683749736450064</v>
      </c>
      <c r="AG100" s="31">
        <v>0.74252831818933629</v>
      </c>
      <c r="AH100" s="32">
        <v>0.72014316775970499</v>
      </c>
    </row>
    <row r="101" spans="1:34" x14ac:dyDescent="0.25">
      <c r="A101" s="30">
        <v>-8</v>
      </c>
      <c r="B101" s="31">
        <v>6.4883672550445528</v>
      </c>
      <c r="C101" s="31">
        <v>5.7563651667357014</v>
      </c>
      <c r="D101" s="31">
        <v>5.1039942882187006</v>
      </c>
      <c r="E101" s="31">
        <v>4.5249928818975338</v>
      </c>
      <c r="F101" s="31">
        <v>4.0133556583929533</v>
      </c>
      <c r="G101" s="31">
        <v>3.5633337765425219</v>
      </c>
      <c r="H101" s="31">
        <v>3.1694348434005799</v>
      </c>
      <c r="I101" s="31">
        <v>2.8264229142382562</v>
      </c>
      <c r="J101" s="31">
        <v>2.5293184925434811</v>
      </c>
      <c r="K101" s="31">
        <v>2.273398530020962</v>
      </c>
      <c r="L101" s="31">
        <v>2.0541964265922021</v>
      </c>
      <c r="M101" s="31">
        <v>1.8675020303954959</v>
      </c>
      <c r="N101" s="31">
        <v>1.709361637785926</v>
      </c>
      <c r="O101" s="31">
        <v>1.576077993335363</v>
      </c>
      <c r="P101" s="31">
        <v>1.4642102898324669</v>
      </c>
      <c r="Q101" s="31">
        <v>1.3705741682826911</v>
      </c>
      <c r="R101" s="31">
        <v>1.2922417179082719</v>
      </c>
      <c r="S101" s="31">
        <v>1.226541476148246</v>
      </c>
      <c r="T101" s="31">
        <v>1.171058428658436</v>
      </c>
      <c r="U101" s="31">
        <v>1.123634009311445</v>
      </c>
      <c r="V101" s="31">
        <v>1.0823661001966749</v>
      </c>
      <c r="W101" s="31">
        <v>1.0456090316203179</v>
      </c>
      <c r="X101" s="31">
        <v>1.011973582105355</v>
      </c>
      <c r="Y101" s="31">
        <v>0.98032697839155769</v>
      </c>
      <c r="Z101" s="31">
        <v>0.94979289543547196</v>
      </c>
      <c r="AA101" s="31">
        <v>0.91975145641046807</v>
      </c>
      <c r="AB101" s="31">
        <v>0.88983923270666099</v>
      </c>
      <c r="AC101" s="31">
        <v>0.85994924393099492</v>
      </c>
      <c r="AD101" s="31">
        <v>0.83023095790719359</v>
      </c>
      <c r="AE101" s="31">
        <v>0.80109029067574489</v>
      </c>
      <c r="AF101" s="31">
        <v>0.77318960649396817</v>
      </c>
      <c r="AG101" s="31">
        <v>0.74744771783591091</v>
      </c>
      <c r="AH101" s="32">
        <v>0.72503988539250841</v>
      </c>
    </row>
    <row r="102" spans="1:34" x14ac:dyDescent="0.25">
      <c r="A102" s="30">
        <v>-1</v>
      </c>
      <c r="B102" s="31">
        <v>6.5659011897972333</v>
      </c>
      <c r="C102" s="31">
        <v>5.8249311979047631</v>
      </c>
      <c r="D102" s="31">
        <v>5.1643160896246867</v>
      </c>
      <c r="E102" s="31">
        <v>4.577765149904593</v>
      </c>
      <c r="F102" s="31">
        <v>4.0592441119088516</v>
      </c>
      <c r="G102" s="31">
        <v>3.6029751570186379</v>
      </c>
      <c r="H102" s="31">
        <v>3.2034369148318942</v>
      </c>
      <c r="I102" s="31">
        <v>2.855364463163375</v>
      </c>
      <c r="J102" s="31">
        <v>2.55374932804461</v>
      </c>
      <c r="K102" s="31">
        <v>2.2938394837239202</v>
      </c>
      <c r="L102" s="31">
        <v>2.0711393526664219</v>
      </c>
      <c r="M102" s="31">
        <v>1.8814098055540209</v>
      </c>
      <c r="N102" s="31">
        <v>1.720668161285408</v>
      </c>
      <c r="O102" s="31">
        <v>1.585188186976066</v>
      </c>
      <c r="P102" s="31">
        <v>1.471500097958266</v>
      </c>
      <c r="Q102" s="31">
        <v>1.37639055778108</v>
      </c>
      <c r="R102" s="31">
        <v>1.2969026782103379</v>
      </c>
      <c r="S102" s="31">
        <v>1.2303360192287061</v>
      </c>
      <c r="T102" s="31">
        <v>1.174246589035602</v>
      </c>
      <c r="U102" s="31">
        <v>1.1264468440472619</v>
      </c>
      <c r="V102" s="31">
        <v>1.085005688896677</v>
      </c>
      <c r="W102" s="31">
        <v>1.0482484764336559</v>
      </c>
      <c r="X102" s="31">
        <v>1.014757007724802</v>
      </c>
      <c r="Y102" s="31">
        <v>0.98336953205348177</v>
      </c>
      <c r="Z102" s="31">
        <v>0.95318074691985755</v>
      </c>
      <c r="AA102" s="31">
        <v>0.92354179804092207</v>
      </c>
      <c r="AB102" s="31">
        <v>0.89406027935038956</v>
      </c>
      <c r="AC102" s="31">
        <v>0.86460023299881428</v>
      </c>
      <c r="AD102" s="31">
        <v>0.83528214935354572</v>
      </c>
      <c r="AE102" s="31">
        <v>0.80648296699865829</v>
      </c>
      <c r="AF102" s="31">
        <v>0.77883607273511435</v>
      </c>
      <c r="AG102" s="31">
        <v>0.75323130158054874</v>
      </c>
      <c r="AH102" s="32">
        <v>0.73081493676950882</v>
      </c>
    </row>
    <row r="103" spans="1:34" x14ac:dyDescent="0.25">
      <c r="A103" s="30">
        <v>5</v>
      </c>
      <c r="B103" s="31">
        <v>6.633216199945668</v>
      </c>
      <c r="C103" s="31">
        <v>5.8844938888018206</v>
      </c>
      <c r="D103" s="31">
        <v>5.2167493591812653</v>
      </c>
      <c r="E103" s="31">
        <v>4.6236670582118196</v>
      </c>
      <c r="F103" s="31">
        <v>4.0991878812381009</v>
      </c>
      <c r="G103" s="31">
        <v>3.6375091718215109</v>
      </c>
      <c r="H103" s="31">
        <v>3.2330847217402421</v>
      </c>
      <c r="I103" s="31">
        <v>2.8806247709892778</v>
      </c>
      <c r="J103" s="31">
        <v>2.5750960077803899</v>
      </c>
      <c r="K103" s="31">
        <v>2.3117215685421368</v>
      </c>
      <c r="L103" s="31">
        <v>2.0859810379198742</v>
      </c>
      <c r="M103" s="31">
        <v>1.8936104487757419</v>
      </c>
      <c r="N103" s="31">
        <v>1.73060228218867</v>
      </c>
      <c r="O103" s="31">
        <v>1.593205467454389</v>
      </c>
      <c r="P103" s="31">
        <v>1.477925382085393</v>
      </c>
      <c r="Q103" s="31">
        <v>1.381523851810996</v>
      </c>
      <c r="R103" s="31">
        <v>1.301019150577283</v>
      </c>
      <c r="S103" s="31">
        <v>1.2336860005471311</v>
      </c>
      <c r="T103" s="31">
        <v>1.17705557210022</v>
      </c>
      <c r="U103" s="31">
        <v>1.128915483832998</v>
      </c>
      <c r="V103" s="31">
        <v>1.0873098025587249</v>
      </c>
      <c r="W103" s="31">
        <v>1.050539043307422</v>
      </c>
      <c r="X103" s="31">
        <v>1.0171601693259471</v>
      </c>
      <c r="Y103" s="31">
        <v>0.98598659207789474</v>
      </c>
      <c r="Z103" s="31">
        <v>0.95608817124367973</v>
      </c>
      <c r="AA103" s="31">
        <v>0.92679121472051651</v>
      </c>
      <c r="AB103" s="31">
        <v>0.89767847862235495</v>
      </c>
      <c r="AC103" s="31">
        <v>0.86858916728000668</v>
      </c>
      <c r="AD103" s="31">
        <v>0.83961893324103065</v>
      </c>
      <c r="AE103" s="31">
        <v>0.81111987726978874</v>
      </c>
      <c r="AF103" s="31">
        <v>0.78370054834740444</v>
      </c>
      <c r="AG103" s="31">
        <v>0.75822594367182816</v>
      </c>
      <c r="AH103" s="32">
        <v>0.73581750865779583</v>
      </c>
    </row>
    <row r="104" spans="1:34" x14ac:dyDescent="0.25">
      <c r="A104" s="30">
        <v>11</v>
      </c>
      <c r="B104" s="31">
        <v>6.7013255812994883</v>
      </c>
      <c r="C104" s="31">
        <v>5.9447903323947937</v>
      </c>
      <c r="D104" s="31">
        <v>5.2698581685224788</v>
      </c>
      <c r="E104" s="31">
        <v>4.6701886989906081</v>
      </c>
      <c r="F104" s="31">
        <v>4.1396979813240264</v>
      </c>
      <c r="G104" s="31">
        <v>3.6725585212643779</v>
      </c>
      <c r="H104" s="31">
        <v>3.263199272770092</v>
      </c>
      <c r="I104" s="31">
        <v>2.9063056380163932</v>
      </c>
      <c r="J104" s="31">
        <v>2.5968194673952878</v>
      </c>
      <c r="K104" s="31">
        <v>2.3299390595155769</v>
      </c>
      <c r="L104" s="31">
        <v>2.101119161202849</v>
      </c>
      <c r="M104" s="31">
        <v>1.906070967499484</v>
      </c>
      <c r="N104" s="31">
        <v>1.740762121664654</v>
      </c>
      <c r="O104" s="31">
        <v>1.601416715174321</v>
      </c>
      <c r="P104" s="31">
        <v>1.4845152877212231</v>
      </c>
      <c r="Q104" s="31">
        <v>1.3867948272149111</v>
      </c>
      <c r="R104" s="31">
        <v>1.3052487697816999</v>
      </c>
      <c r="S104" s="31">
        <v>1.237126999764713</v>
      </c>
      <c r="T104" s="31">
        <v>1.179935849723867</v>
      </c>
      <c r="U104" s="31">
        <v>1.1314381004358529</v>
      </c>
      <c r="V104" s="31">
        <v>1.089652980894154</v>
      </c>
      <c r="W104" s="31">
        <v>1.052856168309052</v>
      </c>
      <c r="X104" s="31">
        <v>1.019579788107613</v>
      </c>
      <c r="Y104" s="31">
        <v>0.98861241393370125</v>
      </c>
      <c r="Z104" s="31">
        <v>0.95899906764794796</v>
      </c>
      <c r="AA104" s="31">
        <v>0.93004121932780859</v>
      </c>
      <c r="AB104" s="31">
        <v>0.90129678726749074</v>
      </c>
      <c r="AC104" s="31">
        <v>0.87258013797801248</v>
      </c>
      <c r="AD104" s="31">
        <v>0.84396208618719726</v>
      </c>
      <c r="AE104" s="31">
        <v>0.81576989483962281</v>
      </c>
      <c r="AF104" s="31">
        <v>0.78858727509668469</v>
      </c>
      <c r="AG104" s="31">
        <v>0.76325438633651654</v>
      </c>
      <c r="AH104" s="32">
        <v>0.74086783615415541</v>
      </c>
    </row>
    <row r="105" spans="1:34" x14ac:dyDescent="0.25">
      <c r="A105" s="30">
        <v>18</v>
      </c>
      <c r="B105" s="31">
        <v>6.781794283551811</v>
      </c>
      <c r="C105" s="31">
        <v>6.0160671793479423</v>
      </c>
      <c r="D105" s="31">
        <v>5.3326757213458924</v>
      </c>
      <c r="E105" s="31">
        <v>4.7252505413973278</v>
      </c>
      <c r="F105" s="31">
        <v>4.187678719570715</v>
      </c>
      <c r="G105" s="31">
        <v>3.7141037841513098</v>
      </c>
      <c r="H105" s="31">
        <v>3.2989257116411501</v>
      </c>
      <c r="I105" s="31">
        <v>2.9368009267590671</v>
      </c>
      <c r="J105" s="31">
        <v>2.6226423024406862</v>
      </c>
      <c r="K105" s="31">
        <v>2.35161915983841</v>
      </c>
      <c r="L105" s="31">
        <v>2.119157268321445</v>
      </c>
      <c r="M105" s="31">
        <v>1.920938845475785</v>
      </c>
      <c r="N105" s="31">
        <v>1.7529025571042021</v>
      </c>
      <c r="O105" s="31">
        <v>1.6112435172262769</v>
      </c>
      <c r="P105" s="31">
        <v>1.492413288078364</v>
      </c>
      <c r="Q105" s="31">
        <v>1.393119880113612</v>
      </c>
      <c r="R105" s="31">
        <v>1.3103277520019581</v>
      </c>
      <c r="S105" s="31">
        <v>1.241257810630134</v>
      </c>
      <c r="T105" s="31">
        <v>1.1833874111016649</v>
      </c>
      <c r="U105" s="31">
        <v>1.134450356736848</v>
      </c>
      <c r="V105" s="31">
        <v>1.0924368990727931</v>
      </c>
      <c r="W105" s="31">
        <v>1.055593737863376</v>
      </c>
      <c r="X105" s="31">
        <v>1.0224240210792981</v>
      </c>
      <c r="Y105" s="31">
        <v>0.99168734490799804</v>
      </c>
      <c r="Z105" s="31">
        <v>0.96239975375374354</v>
      </c>
      <c r="AA105" s="31">
        <v>0.93383374023760635</v>
      </c>
      <c r="AB105" s="31">
        <v>0.90551824519738144</v>
      </c>
      <c r="AC105" s="31">
        <v>0.87723865768771603</v>
      </c>
      <c r="AD105" s="31">
        <v>0.84903681498004957</v>
      </c>
      <c r="AE105" s="31">
        <v>0.82121100256255308</v>
      </c>
      <c r="AF105" s="31">
        <v>0.79431595414023837</v>
      </c>
      <c r="AG105" s="31">
        <v>0.7691628516348602</v>
      </c>
      <c r="AH105" s="32">
        <v>0.74681932518506877</v>
      </c>
    </row>
    <row r="106" spans="1:34" x14ac:dyDescent="0.25">
      <c r="A106" s="30">
        <v>24</v>
      </c>
      <c r="B106" s="31">
        <v>6.8516344780606024</v>
      </c>
      <c r="C106" s="31">
        <v>6.0779627200896176</v>
      </c>
      <c r="D106" s="31">
        <v>5.3872571239589666</v>
      </c>
      <c r="E106" s="31">
        <v>4.7731234837005649</v>
      </c>
      <c r="F106" s="31">
        <v>4.2294240415631039</v>
      </c>
      <c r="G106" s="31">
        <v>3.7502774880120811</v>
      </c>
      <c r="H106" s="31">
        <v>3.3300589617297751</v>
      </c>
      <c r="I106" s="31">
        <v>2.9634000496152528</v>
      </c>
      <c r="J106" s="31">
        <v>2.6451887867843782</v>
      </c>
      <c r="K106" s="31">
        <v>2.370569656569792</v>
      </c>
      <c r="L106" s="31">
        <v>2.1349435905209431</v>
      </c>
      <c r="M106" s="31">
        <v>1.933967968404054</v>
      </c>
      <c r="N106" s="31">
        <v>1.763556618202146</v>
      </c>
      <c r="O106" s="31">
        <v>1.6198798161150341</v>
      </c>
      <c r="P106" s="31">
        <v>1.499364286559302</v>
      </c>
      <c r="Q106" s="31">
        <v>1.39869320216834</v>
      </c>
      <c r="R106" s="31">
        <v>1.3148061837923339</v>
      </c>
      <c r="S106" s="31">
        <v>1.244899300498246</v>
      </c>
      <c r="T106" s="31">
        <v>1.18642506956984</v>
      </c>
      <c r="U106" s="31">
        <v>1.137092456507651</v>
      </c>
      <c r="V106" s="31">
        <v>1.0948668750290229</v>
      </c>
      <c r="W106" s="31">
        <v>1.0579701870680831</v>
      </c>
      <c r="X106" s="31">
        <v>1.024880702775756</v>
      </c>
      <c r="Y106" s="31">
        <v>0.9943331805197192</v>
      </c>
      <c r="Z106" s="31">
        <v>0.96531882688448278</v>
      </c>
      <c r="AA106" s="31">
        <v>0.93708529667135565</v>
      </c>
      <c r="AB106" s="31">
        <v>0.90913669289837551</v>
      </c>
      <c r="AC106" s="31">
        <v>0.88123356680044285</v>
      </c>
      <c r="AD106" s="31">
        <v>0.85339291782918969</v>
      </c>
      <c r="AE106" s="31">
        <v>0.82588819365305743</v>
      </c>
      <c r="AF106" s="31">
        <v>0.79924929015731327</v>
      </c>
      <c r="AG106" s="31">
        <v>0.77426255144391831</v>
      </c>
      <c r="AH106" s="32">
        <v>0.75197076983175748</v>
      </c>
    </row>
    <row r="107" spans="1:34" x14ac:dyDescent="0.25">
      <c r="A107" s="30">
        <v>30</v>
      </c>
      <c r="B107" s="31">
        <v>6.9222779860206272</v>
      </c>
      <c r="C107" s="31">
        <v>6.1406006087862153</v>
      </c>
      <c r="D107" s="31">
        <v>5.4425223146288548</v>
      </c>
      <c r="E107" s="31">
        <v>4.8216240597606941</v>
      </c>
      <c r="F107" s="31">
        <v>4.2717432486106617</v>
      </c>
      <c r="G107" s="31">
        <v>3.7869737338245</v>
      </c>
      <c r="H107" s="31">
        <v>3.3616658162647202</v>
      </c>
      <c r="I107" s="31">
        <v>2.9904262450106298</v>
      </c>
      <c r="J107" s="31">
        <v>2.6681182173583302</v>
      </c>
      <c r="K107" s="31">
        <v>2.389861378820703</v>
      </c>
      <c r="L107" s="31">
        <v>2.1510318231274299</v>
      </c>
      <c r="M107" s="31">
        <v>1.9472620922249719</v>
      </c>
      <c r="N107" s="31">
        <v>1.774441176276597</v>
      </c>
      <c r="O107" s="31">
        <v>1.6287145136623391</v>
      </c>
      <c r="P107" s="31">
        <v>1.5064839909790431</v>
      </c>
      <c r="Q107" s="31">
        <v>1.40440794304033</v>
      </c>
      <c r="R107" s="31">
        <v>1.319401152876609</v>
      </c>
      <c r="S107" s="31">
        <v>1.248634851735104</v>
      </c>
      <c r="T107" s="31">
        <v>1.1895367190798041</v>
      </c>
      <c r="U107" s="31">
        <v>1.1397908825914711</v>
      </c>
      <c r="V107" s="31">
        <v>1.0973379181677141</v>
      </c>
      <c r="W107" s="31">
        <v>1.0603748499228729</v>
      </c>
      <c r="X107" s="31">
        <v>1.0273551501881211</v>
      </c>
      <c r="Y107" s="31">
        <v>0.9969887395113799</v>
      </c>
      <c r="Z107" s="31">
        <v>0.96824198665739292</v>
      </c>
      <c r="AA107" s="31">
        <v>0.94033770860770349</v>
      </c>
      <c r="AB107" s="31">
        <v>0.9127551705605832</v>
      </c>
      <c r="AC107" s="31">
        <v>0.88523008593117658</v>
      </c>
      <c r="AD107" s="31">
        <v>0.85775461635137162</v>
      </c>
      <c r="AE107" s="31">
        <v>0.83057737166982215</v>
      </c>
      <c r="AF107" s="31">
        <v>0.80420340995202722</v>
      </c>
      <c r="AG107" s="31">
        <v>0.7793942374802183</v>
      </c>
      <c r="AH107" s="32">
        <v>0.75716780875348266</v>
      </c>
    </row>
    <row r="108" spans="1:34" x14ac:dyDescent="0.25">
      <c r="A108" s="30">
        <v>36</v>
      </c>
      <c r="B108" s="31">
        <v>6.9937276416964886</v>
      </c>
      <c r="C108" s="31">
        <v>6.2039835701275479</v>
      </c>
      <c r="D108" s="31">
        <v>5.4984739084705669</v>
      </c>
      <c r="E108" s="31">
        <v>4.8707547751179332</v>
      </c>
      <c r="F108" s="31">
        <v>4.3146387366788232</v>
      </c>
      <c r="G108" s="31">
        <v>3.824194807979207</v>
      </c>
      <c r="H108" s="31">
        <v>3.3937484520618382</v>
      </c>
      <c r="I108" s="31">
        <v>3.0178815801862582</v>
      </c>
      <c r="J108" s="31">
        <v>2.6914325518288109</v>
      </c>
      <c r="K108" s="31">
        <v>2.409496174682614</v>
      </c>
      <c r="L108" s="31">
        <v>2.167423704657585</v>
      </c>
      <c r="M108" s="31">
        <v>1.960822845880436</v>
      </c>
      <c r="N108" s="31">
        <v>1.7855577506946521</v>
      </c>
      <c r="O108" s="31">
        <v>1.6377490196605211</v>
      </c>
      <c r="P108" s="31">
        <v>1.5137737015551189</v>
      </c>
      <c r="Q108" s="31">
        <v>1.4102652933723061</v>
      </c>
      <c r="R108" s="31">
        <v>1.324113740322741</v>
      </c>
      <c r="S108" s="31">
        <v>1.2524654358338549</v>
      </c>
      <c r="T108" s="31">
        <v>1.192723221549904</v>
      </c>
      <c r="U108" s="31">
        <v>1.1425463873318871</v>
      </c>
      <c r="V108" s="31">
        <v>1.099850671257631</v>
      </c>
      <c r="W108" s="31">
        <v>1.0628082596217381</v>
      </c>
      <c r="X108" s="31">
        <v>1.029847786935602</v>
      </c>
      <c r="Y108" s="31">
        <v>0.99965433592738695</v>
      </c>
      <c r="Z108" s="31">
        <v>0.97116943754208596</v>
      </c>
      <c r="AA108" s="31">
        <v>0.94359107094145145</v>
      </c>
      <c r="AB108" s="31">
        <v>0.91637366350404292</v>
      </c>
      <c r="AC108" s="31">
        <v>0.88922809082518117</v>
      </c>
      <c r="AD108" s="31">
        <v>0.86212167671703799</v>
      </c>
      <c r="AE108" s="31">
        <v>0.83527819320848085</v>
      </c>
      <c r="AF108" s="31">
        <v>0.80917786054527951</v>
      </c>
      <c r="AG108" s="31">
        <v>0.78455734718984627</v>
      </c>
      <c r="AH108" s="32">
        <v>0.76240976982157338</v>
      </c>
    </row>
    <row r="109" spans="1:34" x14ac:dyDescent="0.25">
      <c r="A109" s="30">
        <v>43</v>
      </c>
      <c r="B109" s="31">
        <v>7.0781082426012034</v>
      </c>
      <c r="C109" s="31">
        <v>6.2788756893539466</v>
      </c>
      <c r="D109" s="31">
        <v>5.5646218010682196</v>
      </c>
      <c r="E109" s="31">
        <v>4.9288737186800136</v>
      </c>
      <c r="F109" s="31">
        <v>4.3654150313421134</v>
      </c>
      <c r="G109" s="31">
        <v>3.8682857764241061</v>
      </c>
      <c r="H109" s="31">
        <v>3.4317824395123502</v>
      </c>
      <c r="I109" s="31">
        <v>3.0504579544100072</v>
      </c>
      <c r="J109" s="31">
        <v>2.7191217031370241</v>
      </c>
      <c r="K109" s="31">
        <v>2.4328395159301301</v>
      </c>
      <c r="L109" s="31">
        <v>2.1869336712428589</v>
      </c>
      <c r="M109" s="31">
        <v>1.976982895745526</v>
      </c>
      <c r="N109" s="31">
        <v>1.798822364325235</v>
      </c>
      <c r="O109" s="31">
        <v>1.648543700085882</v>
      </c>
      <c r="P109" s="31">
        <v>1.522494974348154</v>
      </c>
      <c r="Q109" s="31">
        <v>1.417280706649529</v>
      </c>
      <c r="R109" s="31">
        <v>1.3297618647442611</v>
      </c>
      <c r="S109" s="31">
        <v>1.25705586460341</v>
      </c>
      <c r="T109" s="31">
        <v>1.1965365704148281</v>
      </c>
      <c r="U109" s="31">
        <v>1.145834294583139</v>
      </c>
      <c r="V109" s="31">
        <v>1.102835797729762</v>
      </c>
      <c r="W109" s="31">
        <v>1.0656842886929321</v>
      </c>
      <c r="X109" s="31">
        <v>1.032779424527634</v>
      </c>
      <c r="Y109" s="31">
        <v>1.002777310505677</v>
      </c>
      <c r="Z109" s="31">
        <v>0.9745905001156141</v>
      </c>
      <c r="AA109" s="31">
        <v>0.94738799506284721</v>
      </c>
      <c r="AB109" s="31">
        <v>0.92059524526953851</v>
      </c>
      <c r="AC109" s="31">
        <v>0.89389414887461927</v>
      </c>
      <c r="AD109" s="31">
        <v>0.86722305223386464</v>
      </c>
      <c r="AE109" s="31">
        <v>0.84077674991975515</v>
      </c>
      <c r="AF109" s="31">
        <v>0.81500648472166437</v>
      </c>
      <c r="AG109" s="31">
        <v>0.79061994764565946</v>
      </c>
      <c r="AH109" s="32">
        <v>0.768581277914681</v>
      </c>
    </row>
    <row r="110" spans="1:34" x14ac:dyDescent="0.25">
      <c r="A110" s="30">
        <v>49</v>
      </c>
      <c r="B110" s="31">
        <v>7.1513142985428786</v>
      </c>
      <c r="C110" s="31">
        <v>6.3438823457379616</v>
      </c>
      <c r="D110" s="31">
        <v>5.6220695968589114</v>
      </c>
      <c r="E110" s="31">
        <v>4.9793783550219581</v>
      </c>
      <c r="F110" s="31">
        <v>4.4095673715601276</v>
      </c>
      <c r="G110" s="31">
        <v>3.9066518460232431</v>
      </c>
      <c r="H110" s="31">
        <v>3.464903426177901</v>
      </c>
      <c r="I110" s="31">
        <v>3.0788502080075011</v>
      </c>
      <c r="J110" s="31">
        <v>2.7432767357122261</v>
      </c>
      <c r="K110" s="31">
        <v>2.4532240017090499</v>
      </c>
      <c r="L110" s="31">
        <v>2.2039894466317418</v>
      </c>
      <c r="M110" s="31">
        <v>1.99112695933085</v>
      </c>
      <c r="N110" s="31">
        <v>1.810446876873725</v>
      </c>
      <c r="O110" s="31">
        <v>1.6580159845444971</v>
      </c>
      <c r="P110" s="31">
        <v>1.5301575158440781</v>
      </c>
      <c r="Q110" s="31">
        <v>1.423451152490204</v>
      </c>
      <c r="R110" s="31">
        <v>1.334733024417359</v>
      </c>
      <c r="S110" s="31">
        <v>1.2610957097768389</v>
      </c>
      <c r="T110" s="31">
        <v>1.1998882349367399</v>
      </c>
      <c r="U110" s="31">
        <v>1.1487160744819169</v>
      </c>
      <c r="V110" s="31">
        <v>1.1054411512140421</v>
      </c>
      <c r="W110" s="31">
        <v>1.0681818361515649</v>
      </c>
      <c r="X110" s="31">
        <v>1.035312948529727</v>
      </c>
      <c r="Y110" s="31">
        <v>1.0054657558005591</v>
      </c>
      <c r="Z110" s="31">
        <v>0.9775279736328667</v>
      </c>
      <c r="AA110" s="31">
        <v>0.95064376591229627</v>
      </c>
      <c r="AB110" s="31">
        <v>0.92421374474122675</v>
      </c>
      <c r="AC110" s="31">
        <v>0.89789497043884092</v>
      </c>
      <c r="AD110" s="31">
        <v>0.87160095154113604</v>
      </c>
      <c r="AE110" s="31">
        <v>0.84550164480087275</v>
      </c>
      <c r="AF110" s="31">
        <v>0.8200234551876161</v>
      </c>
      <c r="AG110" s="31">
        <v>0.79584923588770051</v>
      </c>
      <c r="AH110" s="32">
        <v>0.77391828830428</v>
      </c>
    </row>
    <row r="111" spans="1:34" x14ac:dyDescent="0.25">
      <c r="A111" s="30">
        <v>55</v>
      </c>
      <c r="B111" s="31">
        <v>7.2253355102969072</v>
      </c>
      <c r="C111" s="31">
        <v>6.4096427358763863</v>
      </c>
      <c r="D111" s="31">
        <v>5.6802121099442688</v>
      </c>
      <c r="E111" s="31">
        <v>5.0305210977970187</v>
      </c>
      <c r="F111" s="31">
        <v>4.454303612947907</v>
      </c>
      <c r="G111" s="31">
        <v>3.9455500171269891</v>
      </c>
      <c r="H111" s="31">
        <v>3.498507120281106</v>
      </c>
      <c r="I111" s="31">
        <v>3.10767818057389</v>
      </c>
      <c r="J111" s="31">
        <v>2.7678229043857669</v>
      </c>
      <c r="K111" s="31">
        <v>2.4739574463139409</v>
      </c>
      <c r="L111" s="31">
        <v>2.2213544091724251</v>
      </c>
      <c r="M111" s="31">
        <v>2.0055428439920049</v>
      </c>
      <c r="N111" s="31">
        <v>1.822308250020269</v>
      </c>
      <c r="O111" s="31">
        <v>1.6676925747215809</v>
      </c>
      <c r="P111" s="31">
        <v>1.5379942137771101</v>
      </c>
      <c r="Q111" s="31">
        <v>1.4297680110848019</v>
      </c>
      <c r="R111" s="31">
        <v>1.3398252587593971</v>
      </c>
      <c r="S111" s="31">
        <v>1.2652336971324269</v>
      </c>
      <c r="T111" s="31">
        <v>1.203317514752215</v>
      </c>
      <c r="U111" s="31">
        <v>1.151657348383875</v>
      </c>
      <c r="V111" s="31">
        <v>1.1080902830092929</v>
      </c>
      <c r="W111" s="31">
        <v>1.070709851827168</v>
      </c>
      <c r="X111" s="31">
        <v>1.037866036252993</v>
      </c>
      <c r="Y111" s="31">
        <v>1.0081652659190199</v>
      </c>
      <c r="Z111" s="31">
        <v>0.9804704186743044</v>
      </c>
      <c r="AA111" s="31">
        <v>0.9539008205847106</v>
      </c>
      <c r="AB111" s="31">
        <v>0.92783224593286207</v>
      </c>
      <c r="AC111" s="31">
        <v>0.90189691721819187</v>
      </c>
      <c r="AD111" s="31">
        <v>0.87598350515694168</v>
      </c>
      <c r="AE111" s="31">
        <v>0.85023712868206769</v>
      </c>
      <c r="AF111" s="31">
        <v>0.82505935494344496</v>
      </c>
      <c r="AG111" s="31">
        <v>0.80110819930755661</v>
      </c>
      <c r="AH111" s="32">
        <v>0.77929812535787601</v>
      </c>
    </row>
    <row r="112" spans="1:34" x14ac:dyDescent="0.25">
      <c r="A112" s="30">
        <v>61</v>
      </c>
      <c r="B112" s="31">
        <v>7.3001747329228266</v>
      </c>
      <c r="C112" s="31">
        <v>6.4761596052539669</v>
      </c>
      <c r="D112" s="31">
        <v>5.7390519762342418</v>
      </c>
      <c r="E112" s="31">
        <v>5.0823044733403604</v>
      </c>
      <c r="F112" s="31">
        <v>4.4996261722658284</v>
      </c>
      <c r="G112" s="31">
        <v>3.9849825969209318</v>
      </c>
      <c r="H112" s="31">
        <v>3.532595719432758</v>
      </c>
      <c r="I112" s="31">
        <v>3.136943960145175</v>
      </c>
      <c r="J112" s="31">
        <v>2.7927621876188482</v>
      </c>
      <c r="K112" s="31">
        <v>2.4950417186312221</v>
      </c>
      <c r="L112" s="31">
        <v>2.239030318176539</v>
      </c>
      <c r="M112" s="31">
        <v>2.0202321994658341</v>
      </c>
      <c r="N112" s="31">
        <v>1.834408023926918</v>
      </c>
      <c r="O112" s="31">
        <v>1.6775749012044141</v>
      </c>
      <c r="P112" s="31">
        <v>1.5460063891597069</v>
      </c>
      <c r="Q112" s="31">
        <v>1.4362324938709981</v>
      </c>
      <c r="R112" s="31">
        <v>1.3450396696332529</v>
      </c>
      <c r="S112" s="31">
        <v>1.2694708189582551</v>
      </c>
      <c r="T112" s="31">
        <v>1.2068252925745599</v>
      </c>
      <c r="U112" s="31">
        <v>1.1546588894275041</v>
      </c>
      <c r="V112" s="31">
        <v>1.110783856679239</v>
      </c>
      <c r="W112" s="31">
        <v>1.073268889708682</v>
      </c>
      <c r="X112" s="31">
        <v>1.040439132111572</v>
      </c>
      <c r="Y112" s="31">
        <v>1.010876175700393</v>
      </c>
      <c r="Z112" s="31">
        <v>0.98341806050444991</v>
      </c>
      <c r="AA112" s="31">
        <v>0.95715927476983642</v>
      </c>
      <c r="AB112" s="31">
        <v>0.93145075495940699</v>
      </c>
      <c r="AC112" s="31">
        <v>0.90589988575286295</v>
      </c>
      <c r="AD112" s="31">
        <v>0.88037050004664164</v>
      </c>
      <c r="AE112" s="31">
        <v>0.85498287895397618</v>
      </c>
      <c r="AF112" s="31">
        <v>0.83011375180494118</v>
      </c>
      <c r="AG112" s="31">
        <v>0.8063962961462966</v>
      </c>
      <c r="AH112" s="32">
        <v>0.78472013774172944</v>
      </c>
    </row>
    <row r="113" spans="1:34" x14ac:dyDescent="0.25">
      <c r="A113" s="30">
        <v>68</v>
      </c>
      <c r="B113" s="31">
        <v>7.3885248500563749</v>
      </c>
      <c r="C113" s="31">
        <v>6.5547223949332558</v>
      </c>
      <c r="D113" s="31">
        <v>5.8085833873889641</v>
      </c>
      <c r="E113" s="31">
        <v>5.1435314774438101</v>
      </c>
      <c r="F113" s="31">
        <v>4.5532467633349176</v>
      </c>
      <c r="G113" s="31">
        <v>4.0316657915161853</v>
      </c>
      <c r="H113" s="31">
        <v>3.5729815566583092</v>
      </c>
      <c r="I113" s="31">
        <v>3.1716435016487661</v>
      </c>
      <c r="J113" s="31">
        <v>2.822357517591831</v>
      </c>
      <c r="K113" s="31">
        <v>2.520085943808565</v>
      </c>
      <c r="L113" s="31">
        <v>2.260047567836819</v>
      </c>
      <c r="M113" s="31">
        <v>2.0377176254312399</v>
      </c>
      <c r="N113" s="31">
        <v>1.8488278005632539</v>
      </c>
      <c r="O113" s="31">
        <v>1.6893662254210791</v>
      </c>
      <c r="P113" s="31">
        <v>1.555577480409728</v>
      </c>
      <c r="Q113" s="31">
        <v>1.443962594151011</v>
      </c>
      <c r="R113" s="31">
        <v>1.3512790434835029</v>
      </c>
      <c r="S113" s="31">
        <v>1.274540753462593</v>
      </c>
      <c r="T113" s="31">
        <v>1.211018097360445</v>
      </c>
      <c r="U113" s="31">
        <v>1.1582378966660241</v>
      </c>
      <c r="V113" s="31">
        <v>1.113983421085079</v>
      </c>
      <c r="W113" s="31">
        <v>1.076294388540149</v>
      </c>
      <c r="X113" s="31">
        <v>1.043466965170563</v>
      </c>
      <c r="Y113" s="31">
        <v>1.014053765332428</v>
      </c>
      <c r="Z113" s="31">
        <v>0.98686385159866685</v>
      </c>
      <c r="AA113" s="31">
        <v>0.96096273475898808</v>
      </c>
      <c r="AB113" s="31">
        <v>0.93567237381984492</v>
      </c>
      <c r="AC113" s="31">
        <v>0.91057117600453452</v>
      </c>
      <c r="AD113" s="31">
        <v>0.88549399675314411</v>
      </c>
      <c r="AE113" s="31">
        <v>0.86053213972249443</v>
      </c>
      <c r="AF113" s="31">
        <v>0.83603335678626356</v>
      </c>
      <c r="AG113" s="31">
        <v>0.81260184803485225</v>
      </c>
      <c r="AH113" s="32">
        <v>0.79109826177551312</v>
      </c>
    </row>
    <row r="114" spans="1:34" x14ac:dyDescent="0.25">
      <c r="A114" s="30">
        <v>74</v>
      </c>
      <c r="B114" s="31">
        <v>7.4651462477911279</v>
      </c>
      <c r="C114" s="31">
        <v>6.622887744979673</v>
      </c>
      <c r="D114" s="31">
        <v>5.8689432520372016</v>
      </c>
      <c r="E114" s="31">
        <v>5.196711581164279</v>
      </c>
      <c r="F114" s="31">
        <v>4.5998479927782432</v>
      </c>
      <c r="G114" s="31">
        <v>4.0722641955132506</v>
      </c>
      <c r="H114" s="31">
        <v>3.608128346220222</v>
      </c>
      <c r="I114" s="31">
        <v>3.201865049966881</v>
      </c>
      <c r="J114" s="31">
        <v>2.8481553600377381</v>
      </c>
      <c r="K114" s="31">
        <v>2.541936777934088</v>
      </c>
      <c r="L114" s="31">
        <v>2.2784032533740248</v>
      </c>
      <c r="M114" s="31">
        <v>2.0530051842924291</v>
      </c>
      <c r="N114" s="31">
        <v>1.8614494168409701</v>
      </c>
      <c r="O114" s="31">
        <v>1.699699245388109</v>
      </c>
      <c r="P114" s="31">
        <v>1.563974412519084</v>
      </c>
      <c r="Q114" s="31">
        <v>1.450751109035946</v>
      </c>
      <c r="R114" s="31">
        <v>1.3567619739575141</v>
      </c>
      <c r="S114" s="31">
        <v>1.2789960945194021</v>
      </c>
      <c r="T114" s="31">
        <v>1.2146990061740459</v>
      </c>
      <c r="U114" s="31">
        <v>1.1613726925906109</v>
      </c>
      <c r="V114" s="31">
        <v>1.1167755856550909</v>
      </c>
      <c r="W114" s="31">
        <v>1.0789225654702761</v>
      </c>
      <c r="X114" s="31">
        <v>1.0460849603557401</v>
      </c>
      <c r="Y114" s="31">
        <v>1.01679054684781</v>
      </c>
      <c r="Z114" s="31">
        <v>0.98982354969963993</v>
      </c>
      <c r="AA114" s="31">
        <v>0.96422464188119139</v>
      </c>
      <c r="AB114" s="31">
        <v>0.93929094457915252</v>
      </c>
      <c r="AC114" s="31">
        <v>0.91457602719707853</v>
      </c>
      <c r="AD114" s="31">
        <v>0.88988990735526829</v>
      </c>
      <c r="AE114" s="31">
        <v>0.86529905089078019</v>
      </c>
      <c r="AF114" s="31">
        <v>0.84112637185753769</v>
      </c>
      <c r="AG114" s="31">
        <v>0.81795123252617707</v>
      </c>
      <c r="AH114" s="32">
        <v>0.79660944338420947</v>
      </c>
    </row>
    <row r="115" spans="1:34" x14ac:dyDescent="0.25">
      <c r="A115" s="33">
        <v>80</v>
      </c>
      <c r="B115" s="34">
        <v>7.5425947303449554</v>
      </c>
      <c r="C115" s="34">
        <v>6.6918183012255907</v>
      </c>
      <c r="D115" s="34">
        <v>5.9300088498635741</v>
      </c>
      <c r="E115" s="34">
        <v>5.250540350639695</v>
      </c>
      <c r="F115" s="34">
        <v>4.6470432261515429</v>
      </c>
      <c r="G115" s="34">
        <v>4.1134043472134998</v>
      </c>
      <c r="H115" s="34">
        <v>3.6437670328567351</v>
      </c>
      <c r="I115" s="34">
        <v>3.232531050329206</v>
      </c>
      <c r="J115" s="34">
        <v>2.874352615095662</v>
      </c>
      <c r="K115" s="34">
        <v>2.5641443908376371</v>
      </c>
      <c r="L115" s="34">
        <v>2.2970754894534582</v>
      </c>
      <c r="M115" s="34">
        <v>2.0685714710582479</v>
      </c>
      <c r="N115" s="34">
        <v>1.8743143439839209</v>
      </c>
      <c r="O115" s="34">
        <v>1.710242564779157</v>
      </c>
      <c r="P115" s="34">
        <v>1.572551038209451</v>
      </c>
      <c r="Q115" s="34">
        <v>1.4576911172570819</v>
      </c>
      <c r="R115" s="34">
        <v>1.362370603121114</v>
      </c>
      <c r="S115" s="34">
        <v>1.2835537452174011</v>
      </c>
      <c r="T115" s="34">
        <v>1.2184612411785949</v>
      </c>
      <c r="U115" s="34">
        <v>1.164570236854122</v>
      </c>
      <c r="V115" s="34">
        <v>1.1196143263102221</v>
      </c>
      <c r="W115" s="34">
        <v>1.081583551829892</v>
      </c>
      <c r="X115" s="34">
        <v>1.04872440391296</v>
      </c>
      <c r="Y115" s="34">
        <v>1.0195398212760021</v>
      </c>
      <c r="Z115" s="34">
        <v>0.99278919085239159</v>
      </c>
      <c r="AA115" s="34">
        <v>0.96748834779234383</v>
      </c>
      <c r="AB115" s="34">
        <v>0.94290957546277454</v>
      </c>
      <c r="AC115" s="34">
        <v>0.91858160544747847</v>
      </c>
      <c r="AD115" s="34">
        <v>0.89428961754699521</v>
      </c>
      <c r="AE115" s="34">
        <v>0.87007523977861867</v>
      </c>
      <c r="AF115" s="34">
        <v>0.84623654837652418</v>
      </c>
      <c r="AG115" s="34">
        <v>0.82332806779155732</v>
      </c>
      <c r="AH115" s="35">
        <v>0.8021607706915006</v>
      </c>
    </row>
    <row r="118" spans="1:34" ht="28.9" customHeight="1" x14ac:dyDescent="0.5">
      <c r="A118" s="1" t="s">
        <v>30</v>
      </c>
    </row>
    <row r="119" spans="1:34" ht="32.1" customHeight="1" x14ac:dyDescent="0.25"/>
    <row r="120" spans="1:34" x14ac:dyDescent="0.25">
      <c r="A120" s="2"/>
      <c r="B120" s="3"/>
      <c r="C120" s="3"/>
      <c r="D120" s="4"/>
    </row>
    <row r="121" spans="1:34" x14ac:dyDescent="0.25">
      <c r="A121" s="5" t="s">
        <v>31</v>
      </c>
      <c r="B121" s="6">
        <v>4</v>
      </c>
      <c r="C121" s="6" t="s">
        <v>11</v>
      </c>
      <c r="D121" s="7"/>
    </row>
    <row r="122" spans="1:34" x14ac:dyDescent="0.25">
      <c r="A122" s="8"/>
      <c r="B122" s="9"/>
      <c r="C122" s="9"/>
      <c r="D122" s="10"/>
    </row>
    <row r="125" spans="1:34" ht="48" customHeight="1" x14ac:dyDescent="0.25">
      <c r="A125" s="21" t="s">
        <v>32</v>
      </c>
      <c r="B125" s="23" t="s">
        <v>33</v>
      </c>
    </row>
    <row r="126" spans="1:34" x14ac:dyDescent="0.25">
      <c r="A126" s="5">
        <v>0</v>
      </c>
      <c r="B126" s="32">
        <v>0</v>
      </c>
    </row>
    <row r="127" spans="1:34" x14ac:dyDescent="0.25">
      <c r="A127" s="5">
        <v>0.125</v>
      </c>
      <c r="B127" s="32">
        <v>-9.4142827238551108E-2</v>
      </c>
    </row>
    <row r="128" spans="1:34" x14ac:dyDescent="0.25">
      <c r="A128" s="5">
        <v>0.25</v>
      </c>
      <c r="B128" s="32">
        <v>-0.1791095097402598</v>
      </c>
    </row>
    <row r="129" spans="1:2" x14ac:dyDescent="0.25">
      <c r="A129" s="5">
        <v>0.375</v>
      </c>
      <c r="B129" s="32">
        <v>-0.1890589400684933</v>
      </c>
    </row>
    <row r="130" spans="1:2" x14ac:dyDescent="0.25">
      <c r="A130" s="5">
        <v>0.5</v>
      </c>
      <c r="B130" s="32">
        <v>-0.2091373239436618</v>
      </c>
    </row>
    <row r="131" spans="1:2" x14ac:dyDescent="0.25">
      <c r="A131" s="5">
        <v>0.625</v>
      </c>
      <c r="B131" s="32">
        <v>0.33489571108020127</v>
      </c>
    </row>
    <row r="132" spans="1:2" x14ac:dyDescent="0.25">
      <c r="A132" s="5">
        <v>0.75</v>
      </c>
      <c r="B132" s="32">
        <v>0.5096658232473894</v>
      </c>
    </row>
    <row r="133" spans="1:2" x14ac:dyDescent="0.25">
      <c r="A133" s="5">
        <v>0.875</v>
      </c>
      <c r="B133" s="32">
        <v>0.53473921300516558</v>
      </c>
    </row>
    <row r="134" spans="1:2" x14ac:dyDescent="0.25">
      <c r="A134" s="5">
        <v>1</v>
      </c>
      <c r="B134" s="32">
        <v>0.40999027651169828</v>
      </c>
    </row>
    <row r="135" spans="1:2" x14ac:dyDescent="0.25">
      <c r="A135" s="5">
        <v>1.125</v>
      </c>
      <c r="B135" s="32">
        <v>0.76556050263729436</v>
      </c>
    </row>
    <row r="136" spans="1:2" x14ac:dyDescent="0.25">
      <c r="A136" s="5">
        <v>1.25</v>
      </c>
      <c r="B136" s="32">
        <v>0.6472258765125658</v>
      </c>
    </row>
    <row r="137" spans="1:2" x14ac:dyDescent="0.25">
      <c r="A137" s="5">
        <v>1.375</v>
      </c>
      <c r="B137" s="32">
        <v>0.52889125038783724</v>
      </c>
    </row>
    <row r="138" spans="1:2" x14ac:dyDescent="0.25">
      <c r="A138" s="5">
        <v>1.5</v>
      </c>
      <c r="B138" s="32">
        <v>0.4204735883424402</v>
      </c>
    </row>
    <row r="139" spans="1:2" x14ac:dyDescent="0.25">
      <c r="A139" s="5">
        <v>1.625</v>
      </c>
      <c r="B139" s="32">
        <v>0.42089101396478401</v>
      </c>
    </row>
    <row r="140" spans="1:2" x14ac:dyDescent="0.25">
      <c r="A140" s="5">
        <v>1.75</v>
      </c>
      <c r="B140" s="32">
        <v>0.42130843958712771</v>
      </c>
    </row>
    <row r="141" spans="1:2" x14ac:dyDescent="0.25">
      <c r="A141" s="5">
        <v>1.875</v>
      </c>
      <c r="B141" s="32">
        <v>0.42172586520947142</v>
      </c>
    </row>
    <row r="142" spans="1:2" x14ac:dyDescent="0.25">
      <c r="A142" s="5">
        <v>2</v>
      </c>
      <c r="B142" s="32">
        <v>0.42214329083181501</v>
      </c>
    </row>
    <row r="143" spans="1:2" x14ac:dyDescent="0.25">
      <c r="A143" s="5">
        <v>2.125</v>
      </c>
      <c r="B143" s="32">
        <v>0.42256071645415871</v>
      </c>
    </row>
    <row r="144" spans="1:2" x14ac:dyDescent="0.25">
      <c r="A144" s="5">
        <v>2.25</v>
      </c>
      <c r="B144" s="32">
        <v>0.42297814207650219</v>
      </c>
    </row>
    <row r="145" spans="1:2" x14ac:dyDescent="0.25">
      <c r="A145" s="5">
        <v>2.375</v>
      </c>
      <c r="B145" s="32">
        <v>0.42339556769884601</v>
      </c>
    </row>
    <row r="146" spans="1:2" x14ac:dyDescent="0.25">
      <c r="A146" s="5">
        <v>2.5</v>
      </c>
      <c r="B146" s="32">
        <v>0.42368009621166508</v>
      </c>
    </row>
    <row r="147" spans="1:2" x14ac:dyDescent="0.25">
      <c r="A147" s="5">
        <v>2.625</v>
      </c>
      <c r="B147" s="32">
        <v>0.42289085989176117</v>
      </c>
    </row>
    <row r="148" spans="1:2" x14ac:dyDescent="0.25">
      <c r="A148" s="5">
        <v>2.75</v>
      </c>
      <c r="B148" s="32">
        <v>0.42210162357185782</v>
      </c>
    </row>
    <row r="149" spans="1:2" x14ac:dyDescent="0.25">
      <c r="A149" s="5">
        <v>2.875</v>
      </c>
      <c r="B149" s="32">
        <v>0.42131238725195358</v>
      </c>
    </row>
    <row r="150" spans="1:2" x14ac:dyDescent="0.25">
      <c r="A150" s="5">
        <v>3</v>
      </c>
      <c r="B150" s="32">
        <v>0.42052315093204989</v>
      </c>
    </row>
    <row r="151" spans="1:2" x14ac:dyDescent="0.25">
      <c r="A151" s="5">
        <v>3.125</v>
      </c>
      <c r="B151" s="32">
        <v>0.41973391461214582</v>
      </c>
    </row>
    <row r="152" spans="1:2" x14ac:dyDescent="0.25">
      <c r="A152" s="5">
        <v>3.25</v>
      </c>
      <c r="B152" s="32">
        <v>0.41894467829224169</v>
      </c>
    </row>
    <row r="153" spans="1:2" x14ac:dyDescent="0.25">
      <c r="A153" s="5">
        <v>3.375</v>
      </c>
      <c r="B153" s="32">
        <v>0.41815544197233823</v>
      </c>
    </row>
    <row r="154" spans="1:2" x14ac:dyDescent="0.25">
      <c r="A154" s="5">
        <v>3.5</v>
      </c>
      <c r="B154" s="32">
        <v>0.41734632683658091</v>
      </c>
    </row>
    <row r="155" spans="1:2" x14ac:dyDescent="0.25">
      <c r="A155" s="5">
        <v>3.625</v>
      </c>
      <c r="B155" s="32">
        <v>0.41622188905547131</v>
      </c>
    </row>
    <row r="156" spans="1:2" x14ac:dyDescent="0.25">
      <c r="A156" s="5">
        <v>3.75</v>
      </c>
      <c r="B156" s="32">
        <v>0.41509745127436221</v>
      </c>
    </row>
    <row r="157" spans="1:2" x14ac:dyDescent="0.25">
      <c r="A157" s="5">
        <v>3.875</v>
      </c>
      <c r="B157" s="32">
        <v>0.41397301349325227</v>
      </c>
    </row>
    <row r="158" spans="1:2" x14ac:dyDescent="0.25">
      <c r="A158" s="8">
        <v>4</v>
      </c>
      <c r="B158" s="35">
        <v>0.41284857571214301</v>
      </c>
    </row>
  </sheetData>
  <sheetProtection algorithmName="SHA-512" hashValue="RNEneV3nlZTxQiGV/+zWwieeOIAVqEMySQzUnOlzHqfQ+rCJ0/qcZcr3WzMEWfCdvmQmXhnTaeogpou3HhojKw==" saltValue="A+yiSZmzKZgIhb1zfZfAn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38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0.12999999999999989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39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128</v>
      </c>
      <c r="B41" s="6">
        <v>61.418924764531681</v>
      </c>
      <c r="C41" s="6">
        <f>61.4189247645316 * $B$36 / 100</f>
        <v>61.418924764531603</v>
      </c>
      <c r="D41" s="6">
        <v>7.7386480338315149</v>
      </c>
      <c r="E41" s="7">
        <f>7.73864803383151 * $B$36 / 100</f>
        <v>7.7386480338315096</v>
      </c>
    </row>
    <row r="42" spans="1:5" x14ac:dyDescent="0.25">
      <c r="A42" s="5">
        <v>144</v>
      </c>
      <c r="B42" s="6">
        <v>65.144607291280096</v>
      </c>
      <c r="C42" s="6">
        <f>65.1446072912801 * $B$36 / 100</f>
        <v>65.144607291280096</v>
      </c>
      <c r="D42" s="6">
        <v>8.2080757529073107</v>
      </c>
      <c r="E42" s="7">
        <f>8.20807575290731 * $B$36 / 100</f>
        <v>8.2080757529073107</v>
      </c>
    </row>
    <row r="43" spans="1:5" x14ac:dyDescent="0.25">
      <c r="A43" s="5">
        <v>160</v>
      </c>
      <c r="B43" s="6">
        <v>68.668445439219042</v>
      </c>
      <c r="C43" s="6">
        <f>68.668445439219 * $B$36 / 100</f>
        <v>68.668445439218999</v>
      </c>
      <c r="D43" s="6">
        <v>8.6520715287961778</v>
      </c>
      <c r="E43" s="7">
        <f>8.65207152879617 * $B$36 / 100</f>
        <v>8.6520715287961707</v>
      </c>
    </row>
    <row r="44" spans="1:5" x14ac:dyDescent="0.25">
      <c r="A44" s="5">
        <v>176</v>
      </c>
      <c r="B44" s="6">
        <v>72.020073166742222</v>
      </c>
      <c r="C44" s="6">
        <f>72.0200731667422 * $B$36 / 100</f>
        <v>72.020073166742193</v>
      </c>
      <c r="D44" s="6">
        <v>9.0743691744024826</v>
      </c>
      <c r="E44" s="7">
        <f>9.07436917440248 * $B$36 / 100</f>
        <v>9.0743691744024808</v>
      </c>
    </row>
    <row r="45" spans="1:5" x14ac:dyDescent="0.25">
      <c r="A45" s="5">
        <v>192</v>
      </c>
      <c r="B45" s="6">
        <v>75.222513111746039</v>
      </c>
      <c r="C45" s="6">
        <f>75.222513111746 * $B$36 / 100</f>
        <v>75.222513111745997</v>
      </c>
      <c r="D45" s="6">
        <v>9.4778694909397529</v>
      </c>
      <c r="E45" s="7">
        <f>9.47786949093975 * $B$36 / 100</f>
        <v>9.4778694909397494</v>
      </c>
    </row>
    <row r="46" spans="1:5" x14ac:dyDescent="0.25">
      <c r="A46" s="5">
        <v>208</v>
      </c>
      <c r="B46" s="6">
        <v>78.294073969558539</v>
      </c>
      <c r="C46" s="6">
        <f>78.2940739695585 * $B$36 / 100</f>
        <v>78.294073969558497</v>
      </c>
      <c r="D46" s="6">
        <v>9.8648793333333327</v>
      </c>
      <c r="E46" s="7">
        <f>9.86487933333333 * $B$36 / 100</f>
        <v>9.8648793333333291</v>
      </c>
    </row>
    <row r="47" spans="1:5" x14ac:dyDescent="0.25">
      <c r="A47" s="5">
        <v>224</v>
      </c>
      <c r="B47" s="6">
        <v>81.328455528316184</v>
      </c>
      <c r="C47" s="6">
        <f>81.3284555283161 * $B$36 / 100</f>
        <v>81.328455528316098</v>
      </c>
      <c r="D47" s="6">
        <v>10.24720466666666</v>
      </c>
      <c r="E47" s="7">
        <f>10.2472046666666 * $B$36 / 100</f>
        <v>10.247204666666597</v>
      </c>
    </row>
    <row r="48" spans="1:5" x14ac:dyDescent="0.25">
      <c r="A48" s="5">
        <v>240</v>
      </c>
      <c r="B48" s="6">
        <v>84.362837087073842</v>
      </c>
      <c r="C48" s="6">
        <f>84.3628370870738 * $B$36 / 100</f>
        <v>84.3628370870738</v>
      </c>
      <c r="D48" s="6">
        <v>10.629530000000001</v>
      </c>
      <c r="E48" s="7">
        <f>10.6295299999999 * $B$36 / 100</f>
        <v>10.6295299999999</v>
      </c>
    </row>
    <row r="49" spans="1:5" x14ac:dyDescent="0.25">
      <c r="A49" s="5">
        <v>256</v>
      </c>
      <c r="B49" s="6">
        <v>87.397218645831487</v>
      </c>
      <c r="C49" s="6">
        <f>87.3972186458314 * $B$36 / 100</f>
        <v>87.397218645831401</v>
      </c>
      <c r="D49" s="6">
        <v>11.01185533333333</v>
      </c>
      <c r="E49" s="7">
        <f>11.0118553333333 * $B$36 / 100</f>
        <v>11.011855333333299</v>
      </c>
    </row>
    <row r="50" spans="1:5" x14ac:dyDescent="0.25">
      <c r="A50" s="5">
        <v>272</v>
      </c>
      <c r="B50" s="6">
        <v>90.431600204589131</v>
      </c>
      <c r="C50" s="6">
        <f>90.4316002045891 * $B$36 / 100</f>
        <v>90.431600204589103</v>
      </c>
      <c r="D50" s="6">
        <v>11.394180666666671</v>
      </c>
      <c r="E50" s="7">
        <f>11.3941806666666 * $B$36 / 100</f>
        <v>11.3941806666666</v>
      </c>
    </row>
    <row r="51" spans="1:5" x14ac:dyDescent="0.25">
      <c r="A51" s="5">
        <v>288</v>
      </c>
      <c r="B51" s="6">
        <v>93.465981763346775</v>
      </c>
      <c r="C51" s="6">
        <f>93.4659817633467 * $B$36 / 100</f>
        <v>93.465981763346704</v>
      </c>
      <c r="D51" s="6">
        <v>11.776505999999999</v>
      </c>
      <c r="E51" s="7">
        <f>11.7765059999999 * $B$36 / 100</f>
        <v>11.7765059999999</v>
      </c>
    </row>
    <row r="52" spans="1:5" x14ac:dyDescent="0.25">
      <c r="A52" s="5">
        <v>304</v>
      </c>
      <c r="B52" s="6">
        <v>96.369424504841334</v>
      </c>
      <c r="C52" s="6">
        <f>96.3694245048413 * $B$36 / 100</f>
        <v>96.369424504841305</v>
      </c>
      <c r="D52" s="6">
        <v>12.14233333333333</v>
      </c>
      <c r="E52" s="7">
        <f>12.1423333333333 * $B$36 / 100</f>
        <v>12.142333333333299</v>
      </c>
    </row>
    <row r="53" spans="1:5" x14ac:dyDescent="0.25">
      <c r="A53" s="5">
        <v>320</v>
      </c>
      <c r="B53" s="6">
        <v>98.880050794546619</v>
      </c>
      <c r="C53" s="6">
        <f>98.8800507945466 * $B$36 / 100</f>
        <v>98.880050794546605</v>
      </c>
      <c r="D53" s="6">
        <v>12.458666666666661</v>
      </c>
      <c r="E53" s="7">
        <f>12.4586666666666 * $B$36 / 100</f>
        <v>12.4586666666666</v>
      </c>
    </row>
    <row r="54" spans="1:5" x14ac:dyDescent="0.25">
      <c r="A54" s="5">
        <v>336</v>
      </c>
      <c r="B54" s="6">
        <v>101.39067708425191</v>
      </c>
      <c r="C54" s="6">
        <f>101.390677084251 * $B$36 / 100</f>
        <v>101.390677084251</v>
      </c>
      <c r="D54" s="6">
        <v>12.775</v>
      </c>
      <c r="E54" s="7">
        <f>12.7749999999999 * $B$36 / 100</f>
        <v>12.774999999999899</v>
      </c>
    </row>
    <row r="55" spans="1:5" x14ac:dyDescent="0.25">
      <c r="A55" s="5">
        <v>352</v>
      </c>
      <c r="B55" s="6">
        <v>103.90130337395721</v>
      </c>
      <c r="C55" s="6">
        <f>103.901303373957 * $B$36 / 100</f>
        <v>103.90130337395699</v>
      </c>
      <c r="D55" s="6">
        <v>13.091333333333329</v>
      </c>
      <c r="E55" s="7">
        <f>13.0913333333333 * $B$36 / 100</f>
        <v>13.091333333333301</v>
      </c>
    </row>
    <row r="56" spans="1:5" x14ac:dyDescent="0.25">
      <c r="A56" s="5">
        <v>368</v>
      </c>
      <c r="B56" s="6">
        <v>106.41192966366251</v>
      </c>
      <c r="C56" s="6">
        <f>106.411929663662 * $B$36 / 100</f>
        <v>106.41192966366199</v>
      </c>
      <c r="D56" s="6">
        <v>13.407666666666669</v>
      </c>
      <c r="E56" s="7">
        <f>13.4076666666666 * $B$36 / 100</f>
        <v>13.4076666666666</v>
      </c>
    </row>
    <row r="57" spans="1:5" x14ac:dyDescent="0.25">
      <c r="A57" s="5">
        <v>384</v>
      </c>
      <c r="B57" s="6">
        <v>108.92255595336781</v>
      </c>
      <c r="C57" s="6">
        <f>108.922555953367 * $B$36 / 100</f>
        <v>108.922555953367</v>
      </c>
      <c r="D57" s="6">
        <v>13.724</v>
      </c>
      <c r="E57" s="7">
        <f>13.7239999999999 * $B$36 / 100</f>
        <v>13.723999999999901</v>
      </c>
    </row>
    <row r="58" spans="1:5" x14ac:dyDescent="0.25">
      <c r="A58" s="5">
        <v>400</v>
      </c>
      <c r="B58" s="6">
        <v>111.43318224307311</v>
      </c>
      <c r="C58" s="6">
        <f>111.433182243073 * $B$36 / 100</f>
        <v>111.43318224307301</v>
      </c>
      <c r="D58" s="6">
        <v>14.040333333333329</v>
      </c>
      <c r="E58" s="7">
        <f>14.0403333333333 * $B$36 / 100</f>
        <v>14.040333333333299</v>
      </c>
    </row>
    <row r="59" spans="1:5" x14ac:dyDescent="0.25">
      <c r="A59" s="5">
        <v>416</v>
      </c>
      <c r="B59" s="6">
        <v>113.55292333198121</v>
      </c>
      <c r="C59" s="6">
        <f>113.552923331981 * $B$36 / 100</f>
        <v>113.55292333198101</v>
      </c>
      <c r="D59" s="6">
        <v>14.307416</v>
      </c>
      <c r="E59" s="7">
        <f>14.307416 * $B$36 / 100</f>
        <v>14.307416</v>
      </c>
    </row>
    <row r="60" spans="1:5" x14ac:dyDescent="0.25">
      <c r="A60" s="5">
        <v>432</v>
      </c>
      <c r="B60" s="6">
        <v>115.67266442088921</v>
      </c>
      <c r="C60" s="6">
        <f>115.672664420889 * $B$36 / 100</f>
        <v>115.67266442088902</v>
      </c>
      <c r="D60" s="6">
        <v>14.57449866666667</v>
      </c>
      <c r="E60" s="7">
        <f>14.5744986666666 * $B$36 / 100</f>
        <v>14.574498666666599</v>
      </c>
    </row>
    <row r="61" spans="1:5" x14ac:dyDescent="0.25">
      <c r="A61" s="5">
        <v>448</v>
      </c>
      <c r="B61" s="6">
        <v>117.79240550979731</v>
      </c>
      <c r="C61" s="6">
        <f>117.792405509797 * $B$36 / 100</f>
        <v>117.79240550979701</v>
      </c>
      <c r="D61" s="6">
        <v>14.84158133333333</v>
      </c>
      <c r="E61" s="7">
        <f>14.8415813333333 * $B$36 / 100</f>
        <v>14.8415813333333</v>
      </c>
    </row>
    <row r="62" spans="1:5" x14ac:dyDescent="0.25">
      <c r="A62" s="5">
        <v>464</v>
      </c>
      <c r="B62" s="6">
        <v>119.91214659870541</v>
      </c>
      <c r="C62" s="6">
        <f>119.912146598705 * $B$36 / 100</f>
        <v>119.91214659870498</v>
      </c>
      <c r="D62" s="6">
        <v>15.108663999999999</v>
      </c>
      <c r="E62" s="7">
        <f>15.108664 * $B$36 / 100</f>
        <v>15.108663999999999</v>
      </c>
    </row>
    <row r="63" spans="1:5" x14ac:dyDescent="0.25">
      <c r="A63" s="5">
        <v>480</v>
      </c>
      <c r="B63" s="6">
        <v>122.03188768761351</v>
      </c>
      <c r="C63" s="6">
        <f>122.031887687613 * $B$36 / 100</f>
        <v>122.03188768761299</v>
      </c>
      <c r="D63" s="6">
        <v>15.375746666666659</v>
      </c>
      <c r="E63" s="7">
        <f>15.3757466666666 * $B$36 / 100</f>
        <v>15.375746666666601</v>
      </c>
    </row>
    <row r="64" spans="1:5" x14ac:dyDescent="0.25">
      <c r="A64" s="5">
        <v>496</v>
      </c>
      <c r="B64" s="6">
        <v>124.1516287765216</v>
      </c>
      <c r="C64" s="6">
        <f>124.151628776521 * $B$36 / 100</f>
        <v>124.15162877652099</v>
      </c>
      <c r="D64" s="6">
        <v>15.64282933333333</v>
      </c>
      <c r="E64" s="7">
        <f>15.6428293333333 * $B$36 / 100</f>
        <v>15.6428293333333</v>
      </c>
    </row>
    <row r="65" spans="1:18" x14ac:dyDescent="0.25">
      <c r="A65" s="5">
        <v>512</v>
      </c>
      <c r="B65" s="6">
        <v>126.0523660029277</v>
      </c>
      <c r="C65" s="6">
        <f>126.052366002927 * $B$36 / 100</f>
        <v>126.05236600292702</v>
      </c>
      <c r="D65" s="6">
        <v>15.882318</v>
      </c>
      <c r="E65" s="7">
        <f>15.882318 * $B$36 / 100</f>
        <v>15.882318</v>
      </c>
    </row>
    <row r="66" spans="1:18" x14ac:dyDescent="0.25">
      <c r="A66" s="5">
        <v>528</v>
      </c>
      <c r="B66" s="6">
        <v>127.8801019418332</v>
      </c>
      <c r="C66" s="6">
        <f>127.880101941833 * $B$36 / 100</f>
        <v>127.880101941833</v>
      </c>
      <c r="D66" s="6">
        <v>16.11260866666667</v>
      </c>
      <c r="E66" s="7">
        <f>16.1126086666666 * $B$36 / 100</f>
        <v>16.112608666666599</v>
      </c>
    </row>
    <row r="67" spans="1:18" x14ac:dyDescent="0.25">
      <c r="A67" s="5">
        <v>544</v>
      </c>
      <c r="B67" s="6">
        <v>129.70783788073871</v>
      </c>
      <c r="C67" s="6">
        <f>129.707837880738 * $B$36 / 100</f>
        <v>129.707837880738</v>
      </c>
      <c r="D67" s="6">
        <v>16.342899333333339</v>
      </c>
      <c r="E67" s="7">
        <f>16.3428993333333 * $B$36 / 100</f>
        <v>16.3428993333333</v>
      </c>
    </row>
    <row r="68" spans="1:18" x14ac:dyDescent="0.25">
      <c r="A68" s="5">
        <v>560</v>
      </c>
      <c r="B68" s="6">
        <v>131.5355738196441</v>
      </c>
      <c r="C68" s="6">
        <f>131.535573819644 * $B$36 / 100</f>
        <v>131.53557381964399</v>
      </c>
      <c r="D68" s="6">
        <v>16.57319</v>
      </c>
      <c r="E68" s="7">
        <f>16.57319 * $B$36 / 100</f>
        <v>16.57319</v>
      </c>
    </row>
    <row r="69" spans="1:18" x14ac:dyDescent="0.25">
      <c r="A69" s="5">
        <v>576</v>
      </c>
      <c r="B69" s="6">
        <v>133.36330975854949</v>
      </c>
      <c r="C69" s="6">
        <f>133.363309758549 * $B$36 / 100</f>
        <v>133.36330975854901</v>
      </c>
      <c r="D69" s="6">
        <v>16.803480666666669</v>
      </c>
      <c r="E69" s="7">
        <f>16.8034806666666 * $B$36 / 100</f>
        <v>16.803480666666601</v>
      </c>
    </row>
    <row r="70" spans="1:18" x14ac:dyDescent="0.25">
      <c r="A70" s="5">
        <v>592</v>
      </c>
      <c r="B70" s="6">
        <v>135.191045697455</v>
      </c>
      <c r="C70" s="6">
        <f>135.191045697455 * $B$36 / 100</f>
        <v>135.191045697455</v>
      </c>
      <c r="D70" s="6">
        <v>17.03377133333333</v>
      </c>
      <c r="E70" s="7">
        <f>17.0337713333333 * $B$36 / 100</f>
        <v>17.033771333333299</v>
      </c>
    </row>
    <row r="71" spans="1:18" x14ac:dyDescent="0.25">
      <c r="A71" s="5">
        <v>608</v>
      </c>
      <c r="B71" s="6">
        <v>137.00577180555371</v>
      </c>
      <c r="C71" s="6">
        <f>137.005771805553 * $B$36 / 100</f>
        <v>137.005771805553</v>
      </c>
      <c r="D71" s="6">
        <v>17.262422790229088</v>
      </c>
      <c r="E71" s="7">
        <f>17.262422790229 * $B$36 / 100</f>
        <v>17.262422790229</v>
      </c>
    </row>
    <row r="72" spans="1:18" x14ac:dyDescent="0.25">
      <c r="A72" s="5">
        <v>624</v>
      </c>
      <c r="B72" s="6">
        <v>138.79677294267159</v>
      </c>
      <c r="C72" s="6">
        <f>138.796772942671 * $B$36 / 100</f>
        <v>138.796772942671</v>
      </c>
      <c r="D72" s="6">
        <v>17.488084953503421</v>
      </c>
      <c r="E72" s="7">
        <f>17.4880849535034 * $B$36 / 100</f>
        <v>17.4880849535034</v>
      </c>
    </row>
    <row r="73" spans="1:18" x14ac:dyDescent="0.25">
      <c r="A73" s="8">
        <v>640</v>
      </c>
      <c r="B73" s="9">
        <v>140.56495598321669</v>
      </c>
      <c r="C73" s="9">
        <f>140.564955983216 * $B$36 / 100</f>
        <v>140.56495598321601</v>
      </c>
      <c r="D73" s="9">
        <v>17.710872087316449</v>
      </c>
      <c r="E73" s="10">
        <f>17.7108720873164 * $B$36 / 100</f>
        <v>17.7108720873164</v>
      </c>
    </row>
    <row r="75" spans="1:18" ht="28.9" customHeight="1" x14ac:dyDescent="0.5">
      <c r="A75" s="1" t="s">
        <v>23</v>
      </c>
      <c r="B75" s="1"/>
    </row>
    <row r="76" spans="1:18" x14ac:dyDescent="0.25">
      <c r="A76" s="21" t="s">
        <v>24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25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26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27</v>
      </c>
      <c r="B80" s="1"/>
    </row>
    <row r="81" spans="1:18" x14ac:dyDescent="0.25">
      <c r="A81" s="24" t="s">
        <v>28</v>
      </c>
      <c r="B81" s="25" t="s">
        <v>29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39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4.8208830122914597</v>
      </c>
      <c r="C83" s="31">
        <v>3.856272723265159</v>
      </c>
      <c r="D83" s="31">
        <v>3.1108338076633162</v>
      </c>
      <c r="E83" s="31">
        <v>2.544241070141064</v>
      </c>
      <c r="F83" s="31">
        <v>2.1202724868221958</v>
      </c>
      <c r="G83" s="31">
        <v>1.806809205299126</v>
      </c>
      <c r="H83" s="31">
        <v>1.5758355446329091</v>
      </c>
      <c r="I83" s="31">
        <v>1.4034389953532409</v>
      </c>
      <c r="J83" s="31">
        <v>1.26981021945844</v>
      </c>
      <c r="K83" s="31">
        <v>1.159243050415468</v>
      </c>
      <c r="L83" s="31">
        <v>1.0601344931599279</v>
      </c>
      <c r="M83" s="31">
        <v>0.96498472409606362</v>
      </c>
      <c r="N83" s="31">
        <v>0.87039709109674335</v>
      </c>
      <c r="O83" s="31">
        <v>0.77707811350345701</v>
      </c>
      <c r="P83" s="31">
        <v>0.68983748212637175</v>
      </c>
      <c r="Q83" s="31">
        <v>0.61758805924427307</v>
      </c>
      <c r="R83" s="32">
        <v>0.57334587860454544</v>
      </c>
    </row>
    <row r="84" spans="1:18" x14ac:dyDescent="0.25">
      <c r="A84" s="30">
        <v>144</v>
      </c>
      <c r="B84" s="31">
        <v>4.9290682233745224</v>
      </c>
      <c r="C84" s="31">
        <v>3.9354148365999229</v>
      </c>
      <c r="D84" s="31">
        <v>3.16643948697405</v>
      </c>
      <c r="E84" s="31">
        <v>2.5812871056637898</v>
      </c>
      <c r="F84" s="31">
        <v>2.1432057953046728</v>
      </c>
      <c r="G84" s="31">
        <v>1.8195468300008639</v>
      </c>
      <c r="H84" s="31">
        <v>1.5817646553251581</v>
      </c>
      <c r="I84" s="31">
        <v>1.405416888319001</v>
      </c>
      <c r="J84" s="31">
        <v>1.2701643174924611</v>
      </c>
      <c r="K84" s="31">
        <v>1.1597709028242369</v>
      </c>
      <c r="L84" s="31">
        <v>1.062103775761686</v>
      </c>
      <c r="M84" s="31">
        <v>0.96913323922078498</v>
      </c>
      <c r="N84" s="31">
        <v>0.87693276758616212</v>
      </c>
      <c r="O84" s="31">
        <v>0.78567900671106394</v>
      </c>
      <c r="P84" s="31">
        <v>0.6996517739173671</v>
      </c>
      <c r="Q84" s="31">
        <v>0.62723405799562215</v>
      </c>
      <c r="R84" s="32">
        <v>0.58091201920496982</v>
      </c>
    </row>
    <row r="85" spans="1:18" x14ac:dyDescent="0.25">
      <c r="A85" s="30">
        <v>160</v>
      </c>
      <c r="B85" s="31">
        <v>5.0424790969003839</v>
      </c>
      <c r="C85" s="31">
        <v>4.0189711662597096</v>
      </c>
      <c r="D85" s="31">
        <v>3.2257163623963079</v>
      </c>
      <c r="E85" s="31">
        <v>2.6213297429888129</v>
      </c>
      <c r="F85" s="31">
        <v>2.168529537184495</v>
      </c>
      <c r="G85" s="31">
        <v>1.834137145599269</v>
      </c>
      <c r="H85" s="31">
        <v>1.589077140317678</v>
      </c>
      <c r="I85" s="31">
        <v>1.4083772648929089</v>
      </c>
      <c r="J85" s="31">
        <v>1.2711684343467811</v>
      </c>
      <c r="K85" s="31">
        <v>1.160684735169734</v>
      </c>
      <c r="L85" s="31">
        <v>1.064263425320876</v>
      </c>
      <c r="M85" s="31">
        <v>0.97334493422793067</v>
      </c>
      <c r="N85" s="31">
        <v>0.88347286278726167</v>
      </c>
      <c r="O85" s="31">
        <v>0.79429398336386492</v>
      </c>
      <c r="P85" s="31">
        <v>0.70955823979136678</v>
      </c>
      <c r="Q85" s="31">
        <v>0.63711874737207097</v>
      </c>
      <c r="R85" s="32">
        <v>0.58893179287684916</v>
      </c>
    </row>
    <row r="86" spans="1:18" x14ac:dyDescent="0.25">
      <c r="A86" s="30">
        <v>176</v>
      </c>
      <c r="B86" s="31">
        <v>5.161167119114153</v>
      </c>
      <c r="C86" s="31">
        <v>4.1069890427642104</v>
      </c>
      <c r="D86" s="31">
        <v>3.288707608724363</v>
      </c>
      <c r="E86" s="31">
        <v>2.6644080011849871</v>
      </c>
      <c r="F86" s="31">
        <v>2.1962785758051049</v>
      </c>
      <c r="G86" s="31">
        <v>1.8506108597123749</v>
      </c>
      <c r="H86" s="31">
        <v>1.5977995515030849</v>
      </c>
      <c r="I86" s="31">
        <v>1.4123425212421721</v>
      </c>
      <c r="J86" s="31">
        <v>1.272840810463191</v>
      </c>
      <c r="K86" s="31">
        <v>1.16199863216834</v>
      </c>
      <c r="L86" s="31">
        <v>1.066623370828468</v>
      </c>
      <c r="M86" s="31">
        <v>0.97762558238303932</v>
      </c>
      <c r="N86" s="31">
        <v>0.89001899424016928</v>
      </c>
      <c r="O86" s="31">
        <v>0.8029205052765942</v>
      </c>
      <c r="P86" s="31">
        <v>0.71955018583770058</v>
      </c>
      <c r="Q86" s="31">
        <v>0.64723127773752154</v>
      </c>
      <c r="R86" s="32">
        <v>0.59739019425867201</v>
      </c>
    </row>
    <row r="87" spans="1:18" x14ac:dyDescent="0.25">
      <c r="A87" s="30">
        <v>192</v>
      </c>
      <c r="B87" s="31">
        <v>5.2851840286345668</v>
      </c>
      <c r="C87" s="31">
        <v>4.1995160490067516</v>
      </c>
      <c r="D87" s="31">
        <v>3.3554566531261281</v>
      </c>
      <c r="E87" s="31">
        <v>2.7105611516948191</v>
      </c>
      <c r="F87" s="31">
        <v>2.226488026883596</v>
      </c>
      <c r="G87" s="31">
        <v>1.8689989323318601</v>
      </c>
      <c r="H87" s="31">
        <v>1.6079586931476471</v>
      </c>
      <c r="I87" s="31">
        <v>1.417335305907637</v>
      </c>
      <c r="J87" s="31">
        <v>1.275199938657134</v>
      </c>
      <c r="K87" s="31">
        <v>1.163726930910076</v>
      </c>
      <c r="L87" s="31">
        <v>1.069193793649067</v>
      </c>
      <c r="M87" s="31">
        <v>0.98198120932530852</v>
      </c>
      <c r="N87" s="31">
        <v>0.89657303185866666</v>
      </c>
      <c r="O87" s="31">
        <v>0.81155628663762169</v>
      </c>
      <c r="P87" s="31">
        <v>0.72962117051930531</v>
      </c>
      <c r="Q87" s="31">
        <v>0.65756105182949642</v>
      </c>
      <c r="R87" s="32">
        <v>0.60627247036257614</v>
      </c>
    </row>
    <row r="88" spans="1:18" x14ac:dyDescent="0.25">
      <c r="A88" s="30">
        <v>208</v>
      </c>
      <c r="B88" s="31">
        <v>5.4145818164540129</v>
      </c>
      <c r="C88" s="31">
        <v>4.296600020254302</v>
      </c>
      <c r="D88" s="31">
        <v>3.4260071751431602</v>
      </c>
      <c r="E88" s="31">
        <v>2.7598287183344552</v>
      </c>
      <c r="F88" s="31">
        <v>2.259193258510698</v>
      </c>
      <c r="G88" s="31">
        <v>1.889332575823043</v>
      </c>
      <c r="H88" s="31">
        <v>1.6195816218912651</v>
      </c>
      <c r="I88" s="31">
        <v>1.423378519803796</v>
      </c>
      <c r="J88" s="31">
        <v>1.278264564117682</v>
      </c>
      <c r="K88" s="31">
        <v>1.165884220858608</v>
      </c>
      <c r="L88" s="31">
        <v>1.071985127520926</v>
      </c>
      <c r="M88" s="31">
        <v>0.986418093067577</v>
      </c>
      <c r="N88" s="31">
        <v>0.90313709793018748</v>
      </c>
      <c r="O88" s="31">
        <v>0.82019929400896519</v>
      </c>
      <c r="P88" s="31">
        <v>0.73976500467280082</v>
      </c>
      <c r="Q88" s="31">
        <v>0.66809772475921358</v>
      </c>
      <c r="R88" s="32">
        <v>0.61556412057432996</v>
      </c>
    </row>
    <row r="89" spans="1:18" x14ac:dyDescent="0.25">
      <c r="A89" s="30">
        <v>224</v>
      </c>
      <c r="B89" s="31">
        <v>5.5494127259385237</v>
      </c>
      <c r="C89" s="31">
        <v>4.3982890441474867</v>
      </c>
      <c r="D89" s="31">
        <v>3.50040310669067</v>
      </c>
      <c r="E89" s="31">
        <v>2.8122504772936838</v>
      </c>
      <c r="F89" s="31">
        <v>2.2944298911507932</v>
      </c>
      <c r="G89" s="31">
        <v>1.9116432549248901</v>
      </c>
      <c r="H89" s="31">
        <v>1.632695646747496</v>
      </c>
      <c r="I89" s="31">
        <v>1.4304953162187899</v>
      </c>
      <c r="J89" s="31">
        <v>1.282053684407565</v>
      </c>
      <c r="K89" s="31">
        <v>1.168485343851257</v>
      </c>
      <c r="L89" s="31">
        <v>1.0750080585559461</v>
      </c>
      <c r="M89" s="31">
        <v>0.99094276399634607</v>
      </c>
      <c r="N89" s="31">
        <v>0.90971356711580009</v>
      </c>
      <c r="O89" s="31">
        <v>0.82884774632629499</v>
      </c>
      <c r="P89" s="31">
        <v>0.74997575150843343</v>
      </c>
      <c r="Q89" s="31">
        <v>0.67883120401149444</v>
      </c>
      <c r="R89" s="32">
        <v>0.62525089665334854</v>
      </c>
    </row>
    <row r="90" spans="1:18" x14ac:dyDescent="0.25">
      <c r="A90" s="30">
        <v>240</v>
      </c>
      <c r="B90" s="31">
        <v>5.6897292528277541</v>
      </c>
      <c r="C90" s="31">
        <v>4.504631460700554</v>
      </c>
      <c r="D90" s="31">
        <v>3.5786886320574922</v>
      </c>
      <c r="E90" s="31">
        <v>2.867866457135936</v>
      </c>
      <c r="F90" s="31">
        <v>2.3322337976418912</v>
      </c>
      <c r="G90" s="31">
        <v>1.9359626867499959</v>
      </c>
      <c r="H90" s="31">
        <v>1.647328329103525</v>
      </c>
      <c r="I90" s="31">
        <v>1.4387091008143951</v>
      </c>
      <c r="J90" s="31">
        <v>1.286586549463147</v>
      </c>
      <c r="K90" s="31">
        <v>1.1715453940989651</v>
      </c>
      <c r="L90" s="31">
        <v>1.078273525239672</v>
      </c>
      <c r="M90" s="31">
        <v>0.99556200487172675</v>
      </c>
      <c r="N90" s="31">
        <v>0.91630506645022269</v>
      </c>
      <c r="O90" s="31">
        <v>0.83750011489888743</v>
      </c>
      <c r="P90" s="31">
        <v>0.76024772661007822</v>
      </c>
      <c r="Q90" s="31">
        <v>0.68975164944480105</v>
      </c>
      <c r="R90" s="32">
        <v>0.63531880273270147</v>
      </c>
    </row>
    <row r="91" spans="1:18" x14ac:dyDescent="0.25">
      <c r="A91" s="30">
        <v>256</v>
      </c>
      <c r="B91" s="31">
        <v>5.8355841452350363</v>
      </c>
      <c r="C91" s="31">
        <v>4.6156758623014031</v>
      </c>
      <c r="D91" s="31">
        <v>3.6609081879061192</v>
      </c>
      <c r="E91" s="31">
        <v>2.926716938798287</v>
      </c>
      <c r="F91" s="31">
        <v>2.372641103195658</v>
      </c>
      <c r="G91" s="31">
        <v>1.962322840784618</v>
      </c>
      <c r="H91" s="31">
        <v>1.6635074827201899</v>
      </c>
      <c r="I91" s="31">
        <v>1.4480435316260329</v>
      </c>
      <c r="J91" s="31">
        <v>1.2918826615944361</v>
      </c>
      <c r="K91" s="31">
        <v>1.175079718186324</v>
      </c>
      <c r="L91" s="31">
        <v>1.081792718431279</v>
      </c>
      <c r="M91" s="31">
        <v>1.000282850827487</v>
      </c>
      <c r="N91" s="31">
        <v>0.92291447534180204</v>
      </c>
      <c r="O91" s="31">
        <v>0.84615512340968768</v>
      </c>
      <c r="P91" s="31">
        <v>0.77057549793525115</v>
      </c>
      <c r="Q91" s="31">
        <v>0.70084947329126368</v>
      </c>
      <c r="R91" s="32">
        <v>0.6457540953190738</v>
      </c>
    </row>
    <row r="92" spans="1:18" x14ac:dyDescent="0.25">
      <c r="A92" s="30">
        <v>272</v>
      </c>
      <c r="B92" s="31">
        <v>5.9870304036473154</v>
      </c>
      <c r="C92" s="31">
        <v>4.7314710937115843</v>
      </c>
      <c r="D92" s="31">
        <v>3.7471064632726798</v>
      </c>
      <c r="E92" s="31">
        <v>2.988842455591449</v>
      </c>
      <c r="F92" s="31">
        <v>2.415688185397395</v>
      </c>
      <c r="G92" s="31">
        <v>1.990755938888646</v>
      </c>
      <c r="H92" s="31">
        <v>1.681261173731968</v>
      </c>
      <c r="I92" s="31">
        <v>1.4585225190627691</v>
      </c>
      <c r="J92" s="31">
        <v>1.297961775485087</v>
      </c>
      <c r="K92" s="31">
        <v>1.179103915071587</v>
      </c>
      <c r="L92" s="31">
        <v>1.085577081363589</v>
      </c>
      <c r="M92" s="31">
        <v>1.005112589371052</v>
      </c>
      <c r="N92" s="31">
        <v>0.92954492557255386</v>
      </c>
      <c r="O92" s="31">
        <v>0.85481174791530634</v>
      </c>
      <c r="P92" s="31">
        <v>0.78095388581516179</v>
      </c>
      <c r="Q92" s="31">
        <v>0.71211534015664302</v>
      </c>
      <c r="R92" s="32">
        <v>0.6565432832928445</v>
      </c>
    </row>
    <row r="93" spans="1:18" x14ac:dyDescent="0.25">
      <c r="A93" s="30">
        <v>288</v>
      </c>
      <c r="B93" s="31">
        <v>6.1441212809251917</v>
      </c>
      <c r="C93" s="31">
        <v>4.8520662520662823</v>
      </c>
      <c r="D93" s="31">
        <v>3.8373283995669469</v>
      </c>
      <c r="E93" s="31">
        <v>3.0542837931997888</v>
      </c>
      <c r="F93" s="31">
        <v>2.4614116742060528</v>
      </c>
      <c r="G93" s="31">
        <v>2.0212944552956098</v>
      </c>
      <c r="H93" s="31">
        <v>1.7006177206469819</v>
      </c>
      <c r="I93" s="31">
        <v>1.4701702259073099</v>
      </c>
      <c r="J93" s="31">
        <v>1.304843898192386</v>
      </c>
      <c r="K93" s="31">
        <v>1.183633836086619</v>
      </c>
      <c r="L93" s="31">
        <v>1.0896383096430859</v>
      </c>
      <c r="M93" s="31">
        <v>1.0100587603834601</v>
      </c>
      <c r="N93" s="31">
        <v>0.93619980129809299</v>
      </c>
      <c r="O93" s="31">
        <v>0.86346921684594247</v>
      </c>
      <c r="P93" s="31">
        <v>0.79137796295460205</v>
      </c>
      <c r="Q93" s="31">
        <v>0.72354016702033175</v>
      </c>
      <c r="R93" s="32">
        <v>0.66767312790797828</v>
      </c>
    </row>
    <row r="94" spans="1:18" x14ac:dyDescent="0.25">
      <c r="A94" s="30">
        <v>304</v>
      </c>
      <c r="B94" s="31">
        <v>6.3069102823029226</v>
      </c>
      <c r="C94" s="31">
        <v>4.9775106868743304</v>
      </c>
      <c r="D94" s="31">
        <v>3.9316191905723441</v>
      </c>
      <c r="E94" s="31">
        <v>3.123081989681312</v>
      </c>
      <c r="F94" s="31">
        <v>2.509848451954221</v>
      </c>
      <c r="G94" s="31">
        <v>2.0539711166126962</v>
      </c>
      <c r="H94" s="31">
        <v>1.7216056943469971</v>
      </c>
      <c r="I94" s="31">
        <v>1.4830110673160151</v>
      </c>
      <c r="J94" s="31">
        <v>1.312549289147283</v>
      </c>
      <c r="K94" s="31">
        <v>1.1886855849369611</v>
      </c>
      <c r="L94" s="31">
        <v>1.0939883512498729</v>
      </c>
      <c r="M94" s="31">
        <v>1.015129156119432</v>
      </c>
      <c r="N94" s="31">
        <v>0.94288273904774111</v>
      </c>
      <c r="O94" s="31">
        <v>0.87212701100549084</v>
      </c>
      <c r="P94" s="31">
        <v>0.80184305443203752</v>
      </c>
      <c r="Q94" s="31">
        <v>0.73511512323538131</v>
      </c>
      <c r="R94" s="32">
        <v>0.67913064279211721</v>
      </c>
    </row>
    <row r="95" spans="1:18" x14ac:dyDescent="0.25">
      <c r="A95" s="30">
        <v>320</v>
      </c>
      <c r="B95" s="31">
        <v>6.4754511653883764</v>
      </c>
      <c r="C95" s="31">
        <v>5.1078540000181896</v>
      </c>
      <c r="D95" s="31">
        <v>4.0300242824459209</v>
      </c>
      <c r="E95" s="31">
        <v>3.1952783354676568</v>
      </c>
      <c r="F95" s="31">
        <v>2.561035653348132</v>
      </c>
      <c r="G95" s="31">
        <v>2.0888189018207171</v>
      </c>
      <c r="H95" s="31">
        <v>1.7442539180874139</v>
      </c>
      <c r="I95" s="31">
        <v>1.497069710818866</v>
      </c>
      <c r="J95" s="31">
        <v>1.321098460154351</v>
      </c>
      <c r="K95" s="31">
        <v>1.194275517701775</v>
      </c>
      <c r="L95" s="31">
        <v>1.098639406537695</v>
      </c>
      <c r="M95" s="31">
        <v>1.0203318212072949</v>
      </c>
      <c r="N95" s="31">
        <v>0.94959762772441014</v>
      </c>
      <c r="O95" s="31">
        <v>0.88078486357146735</v>
      </c>
      <c r="P95" s="31">
        <v>0.81234473769957216</v>
      </c>
      <c r="Q95" s="31">
        <v>0.74683163052848667</v>
      </c>
      <c r="R95" s="32">
        <v>0.69090309394653826</v>
      </c>
    </row>
    <row r="96" spans="1:18" x14ac:dyDescent="0.25">
      <c r="A96" s="30">
        <v>336</v>
      </c>
      <c r="B96" s="31">
        <v>6.6497979401630829</v>
      </c>
      <c r="C96" s="31">
        <v>5.2431460457539876</v>
      </c>
      <c r="D96" s="31">
        <v>4.1325893737183854</v>
      </c>
      <c r="E96" s="31">
        <v>3.2709143733641182</v>
      </c>
      <c r="F96" s="31">
        <v>2.6150106654676639</v>
      </c>
      <c r="G96" s="31">
        <v>2.125871042274138</v>
      </c>
      <c r="H96" s="31">
        <v>1.7685914674972889</v>
      </c>
      <c r="I96" s="31">
        <v>1.5123710763195111</v>
      </c>
      <c r="J96" s="31">
        <v>1.330512175391815</v>
      </c>
      <c r="K96" s="31">
        <v>1.2004202428338631</v>
      </c>
      <c r="L96" s="31">
        <v>1.1036039282339629</v>
      </c>
      <c r="M96" s="31">
        <v>1.025675052649033</v>
      </c>
      <c r="N96" s="31">
        <v>0.95634860860464066</v>
      </c>
      <c r="O96" s="31">
        <v>0.88944276009500622</v>
      </c>
      <c r="P96" s="31">
        <v>0.82287884258295896</v>
      </c>
      <c r="Q96" s="31">
        <v>0.75868136299997213</v>
      </c>
      <c r="R96" s="32">
        <v>0.70297799974616737</v>
      </c>
    </row>
    <row r="97" spans="1:18" x14ac:dyDescent="0.25">
      <c r="A97" s="30">
        <v>352</v>
      </c>
      <c r="B97" s="31">
        <v>6.8300048689822264</v>
      </c>
      <c r="C97" s="31">
        <v>5.3834369307114809</v>
      </c>
      <c r="D97" s="31">
        <v>4.2393604152940849</v>
      </c>
      <c r="E97" s="31">
        <v>3.350031898549628</v>
      </c>
      <c r="F97" s="31">
        <v>2.6718111277663339</v>
      </c>
      <c r="G97" s="31">
        <v>2.1651610217010639</v>
      </c>
      <c r="H97" s="31">
        <v>1.794647670579314</v>
      </c>
      <c r="I97" s="31">
        <v>1.528940336095221</v>
      </c>
      <c r="J97" s="31">
        <v>1.340811451411543</v>
      </c>
      <c r="K97" s="31">
        <v>1.207136621159689</v>
      </c>
      <c r="L97" s="31">
        <v>1.1088946214397151</v>
      </c>
      <c r="M97" s="31">
        <v>1.0311673998202719</v>
      </c>
      <c r="N97" s="31">
        <v>0.96314007533870871</v>
      </c>
      <c r="O97" s="31">
        <v>0.89810093850093853</v>
      </c>
      <c r="P97" s="31">
        <v>0.833441451281562</v>
      </c>
      <c r="Q97" s="31">
        <v>0.77065624712381708</v>
      </c>
      <c r="R97" s="32">
        <v>0.71534313093953017</v>
      </c>
    </row>
    <row r="98" spans="1:18" x14ac:dyDescent="0.25">
      <c r="A98" s="30">
        <v>368</v>
      </c>
      <c r="B98" s="31">
        <v>7.0161264665746144</v>
      </c>
      <c r="C98" s="31">
        <v>5.5287770138940644</v>
      </c>
      <c r="D98" s="31">
        <v>4.3503836104510043</v>
      </c>
      <c r="E98" s="31">
        <v>3.4326729585767599</v>
      </c>
      <c r="F98" s="31">
        <v>2.731474932071305</v>
      </c>
      <c r="G98" s="31">
        <v>2.2067225762032461</v>
      </c>
      <c r="H98" s="31">
        <v>1.822452107709823</v>
      </c>
      <c r="I98" s="31">
        <v>1.54680291479692</v>
      </c>
      <c r="J98" s="31">
        <v>1.3520175571390489</v>
      </c>
      <c r="K98" s="31">
        <v>1.214441765879354</v>
      </c>
      <c r="L98" s="31">
        <v>1.1145244436296231</v>
      </c>
      <c r="M98" s="31">
        <v>1.036817664470292</v>
      </c>
      <c r="N98" s="31">
        <v>0.96997667395040943</v>
      </c>
      <c r="O98" s="31">
        <v>0.90675988908768479</v>
      </c>
      <c r="P98" s="31">
        <v>0.84402889836843564</v>
      </c>
      <c r="Q98" s="31">
        <v>0.78274846174763724</v>
      </c>
      <c r="R98" s="32">
        <v>0.72798651064888298</v>
      </c>
    </row>
    <row r="99" spans="1:18" x14ac:dyDescent="0.25">
      <c r="A99" s="30">
        <v>384</v>
      </c>
      <c r="B99" s="31">
        <v>7.2082175000427053</v>
      </c>
      <c r="C99" s="31">
        <v>5.6792169066787919</v>
      </c>
      <c r="D99" s="31">
        <v>4.4657054148407767</v>
      </c>
      <c r="E99" s="31">
        <v>3.518879853371736</v>
      </c>
      <c r="F99" s="31">
        <v>2.7940402225833849</v>
      </c>
      <c r="G99" s="31">
        <v>2.2505896942560768</v>
      </c>
      <c r="H99" s="31">
        <v>1.852034611638802</v>
      </c>
      <c r="I99" s="31">
        <v>1.565984489449181</v>
      </c>
      <c r="J99" s="31">
        <v>1.3641520138734771</v>
      </c>
      <c r="K99" s="31">
        <v>1.2223530425665821</v>
      </c>
      <c r="L99" s="31">
        <v>1.120506604652036</v>
      </c>
      <c r="M99" s="31">
        <v>1.0426349007219999</v>
      </c>
      <c r="N99" s="31">
        <v>0.97686330283729295</v>
      </c>
      <c r="O99" s="31">
        <v>0.9154203545273456</v>
      </c>
      <c r="P99" s="31">
        <v>0.85463777079023395</v>
      </c>
      <c r="Q99" s="31">
        <v>0.79495043809268384</v>
      </c>
      <c r="R99" s="32">
        <v>0.74089641437004516</v>
      </c>
    </row>
    <row r="100" spans="1:18" x14ac:dyDescent="0.25">
      <c r="A100" s="30">
        <v>400</v>
      </c>
      <c r="B100" s="31">
        <v>7.4063329888625953</v>
      </c>
      <c r="C100" s="31">
        <v>5.8348074728163448</v>
      </c>
      <c r="D100" s="31">
        <v>4.5853725364886753</v>
      </c>
      <c r="E100" s="31">
        <v>3.608695135234413</v>
      </c>
      <c r="F100" s="31">
        <v>2.8595453958770181</v>
      </c>
      <c r="G100" s="31">
        <v>2.2967966167085909</v>
      </c>
      <c r="H100" s="31">
        <v>1.8834252674898599</v>
      </c>
      <c r="I100" s="31">
        <v>1.5865109894502101</v>
      </c>
      <c r="J100" s="31">
        <v>1.37723659528763</v>
      </c>
      <c r="K100" s="31">
        <v>1.230888069168766</v>
      </c>
      <c r="L100" s="31">
        <v>1.1268545667289069</v>
      </c>
      <c r="M100" s="31">
        <v>1.048628415071958</v>
      </c>
      <c r="N100" s="31">
        <v>0.98380511277047422</v>
      </c>
      <c r="O100" s="31">
        <v>0.92408332986565278</v>
      </c>
      <c r="P100" s="31">
        <v>0.86526490786729571</v>
      </c>
      <c r="Q100" s="31">
        <v>0.80725485975388955</v>
      </c>
      <c r="R100" s="32">
        <v>0.75406136997249362</v>
      </c>
    </row>
    <row r="101" spans="1:18" x14ac:dyDescent="0.25">
      <c r="A101" s="30">
        <v>416</v>
      </c>
      <c r="B101" s="31">
        <v>7.6105282048840346</v>
      </c>
      <c r="C101" s="31">
        <v>5.9955998284310548</v>
      </c>
      <c r="D101" s="31">
        <v>4.7094319357936199</v>
      </c>
      <c r="E101" s="31">
        <v>3.7021616088382978</v>
      </c>
      <c r="F101" s="31">
        <v>2.928029100900297</v>
      </c>
      <c r="G101" s="31">
        <v>2.3453778367834639</v>
      </c>
      <c r="H101" s="31">
        <v>1.916654412760274</v>
      </c>
      <c r="I101" s="31">
        <v>1.608408596571854</v>
      </c>
      <c r="J101" s="31">
        <v>1.391293327427944</v>
      </c>
      <c r="K101" s="31">
        <v>1.24006471600693</v>
      </c>
      <c r="L101" s="31">
        <v>1.133582044455852</v>
      </c>
      <c r="M101" s="31">
        <v>1.0548077663903579</v>
      </c>
      <c r="N101" s="31">
        <v>0.99080750689475405</v>
      </c>
      <c r="O101" s="31">
        <v>0.93275006252196846</v>
      </c>
      <c r="P101" s="31">
        <v>0.87590740129356714</v>
      </c>
      <c r="Q101" s="31">
        <v>0.81965466269976495</v>
      </c>
      <c r="R101" s="32">
        <v>0.76747015769940663</v>
      </c>
    </row>
    <row r="102" spans="1:18" x14ac:dyDescent="0.25">
      <c r="A102" s="30">
        <v>432</v>
      </c>
      <c r="B102" s="31">
        <v>7.8208586723304094</v>
      </c>
      <c r="C102" s="31">
        <v>6.1616453420208988</v>
      </c>
      <c r="D102" s="31">
        <v>4.8379308255281668</v>
      </c>
      <c r="E102" s="31">
        <v>3.799322331230536</v>
      </c>
      <c r="F102" s="31">
        <v>2.9995302389749572</v>
      </c>
      <c r="G102" s="31">
        <v>2.3963681000770212</v>
      </c>
      <c r="H102" s="31">
        <v>1.9517526373209471</v>
      </c>
      <c r="I102" s="31">
        <v>1.6317037449596099</v>
      </c>
      <c r="J102" s="31">
        <v>1.4063444887144949</v>
      </c>
      <c r="K102" s="31">
        <v>1.249901105775739</v>
      </c>
      <c r="L102" s="31">
        <v>1.1407030048021181</v>
      </c>
      <c r="M102" s="31">
        <v>1.061182765921032</v>
      </c>
      <c r="N102" s="31">
        <v>0.99787614072854336</v>
      </c>
      <c r="O102" s="31">
        <v>0.94142205228931553</v>
      </c>
      <c r="P102" s="31">
        <v>0.88656259513665592</v>
      </c>
      <c r="Q102" s="31">
        <v>0.83214303527253364</v>
      </c>
      <c r="R102" s="32">
        <v>0.78111181016750908</v>
      </c>
    </row>
    <row r="103" spans="1:18" x14ac:dyDescent="0.25">
      <c r="A103" s="30">
        <v>448</v>
      </c>
      <c r="B103" s="31">
        <v>8.0373801677987498</v>
      </c>
      <c r="C103" s="31">
        <v>6.3329956344574869</v>
      </c>
      <c r="D103" s="31">
        <v>4.9709166708385251</v>
      </c>
      <c r="E103" s="31">
        <v>3.9002206118319211</v>
      </c>
      <c r="F103" s="31">
        <v>3.0740879637963738</v>
      </c>
      <c r="G103" s="31">
        <v>2.4498024045592199</v>
      </c>
      <c r="H103" s="31">
        <v>1.988750783416428</v>
      </c>
      <c r="I103" s="31">
        <v>1.656423121132619</v>
      </c>
      <c r="J103" s="31">
        <v>1.4224126099410179</v>
      </c>
      <c r="K103" s="31">
        <v>1.2604156135435109</v>
      </c>
      <c r="L103" s="31">
        <v>1.1482316671106221</v>
      </c>
      <c r="M103" s="31">
        <v>1.0677634772814999</v>
      </c>
      <c r="N103" s="31">
        <v>1.005016922163932</v>
      </c>
      <c r="O103" s="31">
        <v>0.95010105133435052</v>
      </c>
      <c r="P103" s="31">
        <v>0.89722808583780633</v>
      </c>
      <c r="Q103" s="31">
        <v>0.84471341818800028</v>
      </c>
      <c r="R103" s="32">
        <v>0.79497561236724945</v>
      </c>
    </row>
    <row r="104" spans="1:18" x14ac:dyDescent="0.25">
      <c r="A104" s="30">
        <v>464</v>
      </c>
      <c r="B104" s="31">
        <v>8.2601487202597159</v>
      </c>
      <c r="C104" s="31">
        <v>6.5097025789860856</v>
      </c>
      <c r="D104" s="31">
        <v>5.1084371892445368</v>
      </c>
      <c r="E104" s="31">
        <v>4.0049000124368854</v>
      </c>
      <c r="F104" s="31">
        <v>3.151741681433569</v>
      </c>
      <c r="G104" s="31">
        <v>2.505716000573678</v>
      </c>
      <c r="H104" s="31">
        <v>2.0276799456649219</v>
      </c>
      <c r="I104" s="31">
        <v>1.6825936639836589</v>
      </c>
      <c r="J104" s="31">
        <v>1.4395204742748791</v>
      </c>
      <c r="K104" s="31">
        <v>1.271626866752199</v>
      </c>
      <c r="L104" s="31">
        <v>1.1561825030979029</v>
      </c>
      <c r="M104" s="31">
        <v>1.0745602164628649</v>
      </c>
      <c r="N104" s="31">
        <v>1.012236011466632</v>
      </c>
      <c r="O104" s="31">
        <v>0.95878906419737575</v>
      </c>
      <c r="P104" s="31">
        <v>0.90790172221190335</v>
      </c>
      <c r="Q104" s="31">
        <v>0.85735950453565091</v>
      </c>
      <c r="R104" s="32">
        <v>0.80905110166270322</v>
      </c>
    </row>
    <row r="105" spans="1:18" x14ac:dyDescent="0.25">
      <c r="A105" s="30">
        <v>480</v>
      </c>
      <c r="B105" s="31">
        <v>8.4892206110576449</v>
      </c>
      <c r="C105" s="31">
        <v>6.6918183012255934</v>
      </c>
      <c r="D105" s="31">
        <v>5.2505403506396942</v>
      </c>
      <c r="E105" s="31">
        <v>4.1134043472135016</v>
      </c>
      <c r="F105" s="31">
        <v>3.2325310503292051</v>
      </c>
      <c r="G105" s="31">
        <v>2.5641443908376349</v>
      </c>
      <c r="H105" s="31">
        <v>2.0685714710582479</v>
      </c>
      <c r="I105" s="31">
        <v>1.7102425647791579</v>
      </c>
      <c r="J105" s="31">
        <v>1.457691117257081</v>
      </c>
      <c r="K105" s="31">
        <v>1.2835537452174011</v>
      </c>
      <c r="L105" s="31">
        <v>1.164570236854122</v>
      </c>
      <c r="M105" s="31">
        <v>1.081583551829892</v>
      </c>
      <c r="N105" s="31">
        <v>1.0195398212760021</v>
      </c>
      <c r="O105" s="31">
        <v>0.96748834779234372</v>
      </c>
      <c r="P105" s="31">
        <v>0.91858160544747847</v>
      </c>
      <c r="Q105" s="31">
        <v>0.87007523977861811</v>
      </c>
      <c r="R105" s="32">
        <v>0.82332806779155732</v>
      </c>
    </row>
    <row r="106" spans="1:18" x14ac:dyDescent="0.25">
      <c r="A106" s="30">
        <v>496</v>
      </c>
      <c r="B106" s="31">
        <v>8.7246523739104767</v>
      </c>
      <c r="C106" s="31">
        <v>6.8793951791685561</v>
      </c>
      <c r="D106" s="31">
        <v>5.3972743772911302</v>
      </c>
      <c r="E106" s="31">
        <v>4.2257776827034927</v>
      </c>
      <c r="F106" s="31">
        <v>3.3164959812995871</v>
      </c>
      <c r="G106" s="31">
        <v>2.6251233304419901</v>
      </c>
      <c r="H106" s="31">
        <v>2.1114569589618979</v>
      </c>
      <c r="I106" s="31">
        <v>1.739397267159172</v>
      </c>
      <c r="J106" s="31">
        <v>1.4769478268022891</v>
      </c>
      <c r="K106" s="31">
        <v>1.2962153811283501</v>
      </c>
      <c r="L106" s="31">
        <v>1.173409844843128</v>
      </c>
      <c r="M106" s="31">
        <v>1.088844304121009</v>
      </c>
      <c r="N106" s="31">
        <v>1.026935016605022</v>
      </c>
      <c r="O106" s="31">
        <v>0.97620141140683181</v>
      </c>
      <c r="P106" s="31">
        <v>0.92926608910672914</v>
      </c>
      <c r="Q106" s="31">
        <v>0.88285482175364627</v>
      </c>
      <c r="R106" s="32">
        <v>0.83779655286515009</v>
      </c>
    </row>
    <row r="107" spans="1:18" x14ac:dyDescent="0.25">
      <c r="A107" s="30">
        <v>512</v>
      </c>
      <c r="B107" s="31">
        <v>8.9665007949098285</v>
      </c>
      <c r="C107" s="31">
        <v>7.072485843181167</v>
      </c>
      <c r="D107" s="31">
        <v>5.5486877438396158</v>
      </c>
      <c r="E107" s="31">
        <v>4.3420643378222232</v>
      </c>
      <c r="F107" s="31">
        <v>3.4036766375346712</v>
      </c>
      <c r="G107" s="31">
        <v>2.688688826851279</v>
      </c>
      <c r="H107" s="31">
        <v>2.1563682611149981</v>
      </c>
      <c r="I107" s="31">
        <v>1.7700854671374311</v>
      </c>
      <c r="J107" s="31">
        <v>1.497314143198788</v>
      </c>
      <c r="K107" s="31">
        <v>1.3096311590479419</v>
      </c>
      <c r="L107" s="31">
        <v>1.1827165559023951</v>
      </c>
      <c r="M107" s="31">
        <v>1.096353546448281</v>
      </c>
      <c r="N107" s="31">
        <v>1.0344285148403729</v>
      </c>
      <c r="O107" s="31">
        <v>0.98493101670207073</v>
      </c>
      <c r="P107" s="31">
        <v>0.93995377912543554</v>
      </c>
      <c r="Q107" s="31">
        <v>0.89569270067114792</v>
      </c>
      <c r="R107" s="32">
        <v>0.85244685136849774</v>
      </c>
    </row>
    <row r="108" spans="1:18" x14ac:dyDescent="0.25">
      <c r="A108" s="30">
        <v>528</v>
      </c>
      <c r="B108" s="31">
        <v>9.2148229125209298</v>
      </c>
      <c r="C108" s="31">
        <v>7.2711431760032479</v>
      </c>
      <c r="D108" s="31">
        <v>5.7048291772995734</v>
      </c>
      <c r="E108" s="31">
        <v>4.4623088838586904</v>
      </c>
      <c r="F108" s="31">
        <v>3.4941134345980371</v>
      </c>
      <c r="G108" s="31">
        <v>2.7548771399036731</v>
      </c>
      <c r="H108" s="31">
        <v>2.2033374816303022</v>
      </c>
      <c r="I108" s="31">
        <v>1.802335113101263</v>
      </c>
      <c r="J108" s="31">
        <v>1.518813859108525</v>
      </c>
      <c r="K108" s="31">
        <v>1.323820715912688</v>
      </c>
      <c r="L108" s="31">
        <v>1.192505851243022</v>
      </c>
      <c r="M108" s="31">
        <v>1.104122604297386</v>
      </c>
      <c r="N108" s="31">
        <v>1.0420274857423171</v>
      </c>
      <c r="O108" s="31">
        <v>0.9936801777129568</v>
      </c>
      <c r="P108" s="31">
        <v>0.95064353381308564</v>
      </c>
      <c r="Q108" s="31">
        <v>0.90858357911516663</v>
      </c>
      <c r="R108" s="32">
        <v>0.86726951016023079</v>
      </c>
    </row>
    <row r="109" spans="1:18" x14ac:dyDescent="0.25">
      <c r="A109" s="30">
        <v>544</v>
      </c>
      <c r="B109" s="31">
        <v>9.4696760175826782</v>
      </c>
      <c r="C109" s="31">
        <v>7.4754203127482821</v>
      </c>
      <c r="D109" s="31">
        <v>5.8657476570590603</v>
      </c>
      <c r="E109" s="31">
        <v>4.586556144475554</v>
      </c>
      <c r="F109" s="31">
        <v>3.5878470404269289</v>
      </c>
      <c r="G109" s="31">
        <v>2.8237247818110078</v>
      </c>
      <c r="H109" s="31">
        <v>2.2523969769942278</v>
      </c>
      <c r="I109" s="31">
        <v>1.8361744058116789</v>
      </c>
      <c r="J109" s="31">
        <v>1.541471019567084</v>
      </c>
      <c r="K109" s="31">
        <v>1.3388039410327719</v>
      </c>
      <c r="L109" s="31">
        <v>1.2027934644497691</v>
      </c>
      <c r="M109" s="31">
        <v>1.112163055527676</v>
      </c>
      <c r="N109" s="31">
        <v>1.049739351444787</v>
      </c>
      <c r="O109" s="31">
        <v>1.0024521608479739</v>
      </c>
      <c r="P109" s="31">
        <v>0.96133446385278298</v>
      </c>
      <c r="Q109" s="31">
        <v>0.92152241204339436</v>
      </c>
      <c r="R109" s="32">
        <v>0.88225532847259558</v>
      </c>
    </row>
    <row r="110" spans="1:18" x14ac:dyDescent="0.25">
      <c r="A110" s="30">
        <v>560</v>
      </c>
      <c r="B110" s="31">
        <v>9.7311176533075994</v>
      </c>
      <c r="C110" s="31">
        <v>7.68537064090338</v>
      </c>
      <c r="D110" s="31">
        <v>6.0314924148797857</v>
      </c>
      <c r="E110" s="31">
        <v>4.7148511957090919</v>
      </c>
      <c r="F110" s="31">
        <v>3.684918375332221</v>
      </c>
      <c r="G110" s="31">
        <v>2.895268517158736</v>
      </c>
      <c r="H110" s="31">
        <v>2.3035793560668241</v>
      </c>
      <c r="I110" s="31">
        <v>1.8716317984033151</v>
      </c>
      <c r="J110" s="31">
        <v>1.5653099219836759</v>
      </c>
      <c r="K110" s="31">
        <v>1.354600976092001</v>
      </c>
      <c r="L110" s="31">
        <v>1.2135953814810341</v>
      </c>
      <c r="M110" s="31">
        <v>1.120486730372146</v>
      </c>
      <c r="N110" s="31">
        <v>1.0575717864553571</v>
      </c>
      <c r="O110" s="31">
        <v>1.0112504848893029</v>
      </c>
      <c r="P110" s="31">
        <v>0.97202593230126055</v>
      </c>
      <c r="Q110" s="31">
        <v>0.93450440678716939</v>
      </c>
      <c r="R110" s="32">
        <v>0.89739535791156311</v>
      </c>
    </row>
    <row r="111" spans="1:18" x14ac:dyDescent="0.25">
      <c r="A111" s="30">
        <v>576</v>
      </c>
      <c r="B111" s="31">
        <v>9.999205615281868</v>
      </c>
      <c r="C111" s="31">
        <v>7.9010478003293061</v>
      </c>
      <c r="D111" s="31">
        <v>6.2021129348970883</v>
      </c>
      <c r="E111" s="31">
        <v>4.8472393659692452</v>
      </c>
      <c r="F111" s="31">
        <v>3.785368611998436</v>
      </c>
      <c r="G111" s="31">
        <v>2.9695453629059672</v>
      </c>
      <c r="H111" s="31">
        <v>2.3569174800817811</v>
      </c>
      <c r="I111" s="31">
        <v>1.9087359963844479</v>
      </c>
      <c r="J111" s="31">
        <v>1.590355116141184</v>
      </c>
      <c r="K111" s="31">
        <v>1.3712322151478269</v>
      </c>
      <c r="L111" s="31">
        <v>1.2249278406688651</v>
      </c>
      <c r="M111" s="31">
        <v>1.1291057114374199</v>
      </c>
      <c r="N111" s="31">
        <v>1.06553271765525</v>
      </c>
      <c r="O111" s="31">
        <v>1.0200789209927379</v>
      </c>
      <c r="P111" s="31">
        <v>0.9827175545889123</v>
      </c>
      <c r="Q111" s="31">
        <v>0.94752502305146513</v>
      </c>
      <c r="R111" s="32">
        <v>0.91268090245664268</v>
      </c>
    </row>
    <row r="112" spans="1:18" x14ac:dyDescent="0.25">
      <c r="A112" s="30">
        <v>592</v>
      </c>
      <c r="B112" s="31">
        <v>10.273997951465301</v>
      </c>
      <c r="C112" s="31">
        <v>8.1225056832604654</v>
      </c>
      <c r="D112" s="31">
        <v>6.3776589536199708</v>
      </c>
      <c r="E112" s="31">
        <v>4.9837662360395871</v>
      </c>
      <c r="F112" s="31">
        <v>3.889239175483735</v>
      </c>
      <c r="G112" s="31">
        <v>3.046592588385459</v>
      </c>
      <c r="H112" s="31">
        <v>2.412444462646445</v>
      </c>
      <c r="I112" s="31">
        <v>1.9475159576370149</v>
      </c>
      <c r="J112" s="31">
        <v>1.616631404196117</v>
      </c>
      <c r="K112" s="31">
        <v>1.3887183046313489</v>
      </c>
      <c r="L112" s="31">
        <v>1.2368073327189431</v>
      </c>
      <c r="M112" s="31">
        <v>1.138032333703767</v>
      </c>
      <c r="N112" s="31">
        <v>1.073630324299315</v>
      </c>
      <c r="O112" s="31">
        <v>1.0289414926877249</v>
      </c>
      <c r="P112" s="31">
        <v>0.99340919851977472</v>
      </c>
      <c r="Q112" s="31">
        <v>0.96057997291489283</v>
      </c>
      <c r="R112" s="32">
        <v>0.92810351846108607</v>
      </c>
    </row>
    <row r="113" spans="1:18" x14ac:dyDescent="0.25">
      <c r="A113" s="30">
        <v>608</v>
      </c>
      <c r="B113" s="31">
        <v>10.55555296219136</v>
      </c>
      <c r="C113" s="31">
        <v>8.3497984343049012</v>
      </c>
      <c r="D113" s="31">
        <v>6.558180459931056</v>
      </c>
      <c r="E113" s="31">
        <v>5.124477639077349</v>
      </c>
      <c r="F113" s="31">
        <v>3.9965717432199308</v>
      </c>
      <c r="G113" s="31">
        <v>3.1264477153036019</v>
      </c>
      <c r="H113" s="31">
        <v>2.4701936697417932</v>
      </c>
      <c r="I113" s="31">
        <v>1.9880008924165731</v>
      </c>
      <c r="J113" s="31">
        <v>1.6441638406786361</v>
      </c>
      <c r="K113" s="31">
        <v>1.4070801433473139</v>
      </c>
      <c r="L113" s="31">
        <v>1.249250600710605</v>
      </c>
      <c r="M113" s="31">
        <v>1.147279184525104</v>
      </c>
      <c r="N113" s="31">
        <v>1.081873038016067</v>
      </c>
      <c r="O113" s="31">
        <v>1.037842475877373</v>
      </c>
      <c r="P113" s="31">
        <v>1.0041009842715281</v>
      </c>
      <c r="Q113" s="31">
        <v>0.97366522082973717</v>
      </c>
      <c r="R113" s="32">
        <v>0.94365501465173207</v>
      </c>
    </row>
    <row r="114" spans="1:18" x14ac:dyDescent="0.25">
      <c r="A114" s="30">
        <v>624</v>
      </c>
      <c r="B114" s="31">
        <v>10.843929200167141</v>
      </c>
      <c r="C114" s="31">
        <v>8.5829804504442997</v>
      </c>
      <c r="D114" s="31">
        <v>6.743727695086621</v>
      </c>
      <c r="E114" s="31">
        <v>5.2694196606133756</v>
      </c>
      <c r="F114" s="31">
        <v>4.1074082450124676</v>
      </c>
      <c r="G114" s="31">
        <v>3.20914851774043</v>
      </c>
      <c r="H114" s="31">
        <v>2.530198719722442</v>
      </c>
      <c r="I114" s="31">
        <v>2.0302202633523252</v>
      </c>
      <c r="J114" s="31">
        <v>1.672977732492519</v>
      </c>
      <c r="K114" s="31">
        <v>1.4263388824741019</v>
      </c>
      <c r="L114" s="31">
        <v>1.262274640096809</v>
      </c>
      <c r="M114" s="31">
        <v>1.156859103628993</v>
      </c>
      <c r="N114" s="31">
        <v>1.090269542807635</v>
      </c>
      <c r="O114" s="31">
        <v>1.0467863988383861</v>
      </c>
      <c r="P114" s="31">
        <v>1.014793284395491</v>
      </c>
      <c r="Q114" s="31">
        <v>0.98677698362188315</v>
      </c>
      <c r="R114" s="32">
        <v>0.95932745212904535</v>
      </c>
    </row>
    <row r="115" spans="1:18" x14ac:dyDescent="0.25">
      <c r="A115" s="33">
        <v>640</v>
      </c>
      <c r="B115" s="34">
        <v>11.139185470473389</v>
      </c>
      <c r="C115" s="34">
        <v>8.822106381033997</v>
      </c>
      <c r="D115" s="34">
        <v>6.9343511527165882</v>
      </c>
      <c r="E115" s="34">
        <v>5.4186386385521876</v>
      </c>
      <c r="F115" s="34">
        <v>4.221790863040435</v>
      </c>
      <c r="G115" s="34">
        <v>3.2947330221496212</v>
      </c>
      <c r="H115" s="34">
        <v>2.59249348331667</v>
      </c>
      <c r="I115" s="34">
        <v>2.07420378544714</v>
      </c>
      <c r="J115" s="34">
        <v>1.7030986389152181</v>
      </c>
      <c r="K115" s="34">
        <v>1.446515925563741</v>
      </c>
      <c r="L115" s="34">
        <v>1.275896698704174</v>
      </c>
      <c r="M115" s="34">
        <v>1.1667851831166169</v>
      </c>
      <c r="N115" s="34">
        <v>1.0988287750498189</v>
      </c>
      <c r="O115" s="34">
        <v>1.05577804222115</v>
      </c>
      <c r="P115" s="34">
        <v>1.0254867238166061</v>
      </c>
      <c r="Q115" s="34">
        <v>0.99991173049087556</v>
      </c>
      <c r="R115" s="35">
        <v>0.97511314436719232</v>
      </c>
    </row>
    <row r="118" spans="1:18" ht="28.9" customHeight="1" x14ac:dyDescent="0.5">
      <c r="A118" s="1" t="s">
        <v>30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31</v>
      </c>
      <c r="B121" s="6">
        <v>4</v>
      </c>
      <c r="C121" s="6" t="s">
        <v>11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32</v>
      </c>
      <c r="B125" s="23" t="s">
        <v>33</v>
      </c>
    </row>
    <row r="126" spans="1:18" x14ac:dyDescent="0.25">
      <c r="A126" s="5">
        <v>0</v>
      </c>
      <c r="B126" s="32">
        <v>0</v>
      </c>
    </row>
    <row r="127" spans="1:18" x14ac:dyDescent="0.25">
      <c r="A127" s="5">
        <v>0.125</v>
      </c>
      <c r="B127" s="32">
        <v>-9.4142827238551108E-2</v>
      </c>
    </row>
    <row r="128" spans="1:18" x14ac:dyDescent="0.25">
      <c r="A128" s="5">
        <v>0.25</v>
      </c>
      <c r="B128" s="32">
        <v>-0.1791095097402598</v>
      </c>
    </row>
    <row r="129" spans="1:2" x14ac:dyDescent="0.25">
      <c r="A129" s="5">
        <v>0.375</v>
      </c>
      <c r="B129" s="32">
        <v>-0.1890589400684933</v>
      </c>
    </row>
    <row r="130" spans="1:2" x14ac:dyDescent="0.25">
      <c r="A130" s="5">
        <v>0.5</v>
      </c>
      <c r="B130" s="32">
        <v>-0.2091373239436618</v>
      </c>
    </row>
    <row r="131" spans="1:2" x14ac:dyDescent="0.25">
      <c r="A131" s="5">
        <v>0.625</v>
      </c>
      <c r="B131" s="32">
        <v>0.33489571108020127</v>
      </c>
    </row>
    <row r="132" spans="1:2" x14ac:dyDescent="0.25">
      <c r="A132" s="5">
        <v>0.75</v>
      </c>
      <c r="B132" s="32">
        <v>0.5096658232473894</v>
      </c>
    </row>
    <row r="133" spans="1:2" x14ac:dyDescent="0.25">
      <c r="A133" s="5">
        <v>0.875</v>
      </c>
      <c r="B133" s="32">
        <v>0.53473921300516558</v>
      </c>
    </row>
    <row r="134" spans="1:2" x14ac:dyDescent="0.25">
      <c r="A134" s="5">
        <v>1</v>
      </c>
      <c r="B134" s="32">
        <v>0.40999027651169828</v>
      </c>
    </row>
    <row r="135" spans="1:2" x14ac:dyDescent="0.25">
      <c r="A135" s="5">
        <v>1.125</v>
      </c>
      <c r="B135" s="32">
        <v>0.76556050263729436</v>
      </c>
    </row>
    <row r="136" spans="1:2" x14ac:dyDescent="0.25">
      <c r="A136" s="5">
        <v>1.25</v>
      </c>
      <c r="B136" s="32">
        <v>0.6472258765125658</v>
      </c>
    </row>
    <row r="137" spans="1:2" x14ac:dyDescent="0.25">
      <c r="A137" s="5">
        <v>1.375</v>
      </c>
      <c r="B137" s="32">
        <v>0.52889125038783724</v>
      </c>
    </row>
    <row r="138" spans="1:2" x14ac:dyDescent="0.25">
      <c r="A138" s="5">
        <v>1.5</v>
      </c>
      <c r="B138" s="32">
        <v>0.4204735883424402</v>
      </c>
    </row>
    <row r="139" spans="1:2" x14ac:dyDescent="0.25">
      <c r="A139" s="5">
        <v>1.625</v>
      </c>
      <c r="B139" s="32">
        <v>0.42089101396478401</v>
      </c>
    </row>
    <row r="140" spans="1:2" x14ac:dyDescent="0.25">
      <c r="A140" s="5">
        <v>1.75</v>
      </c>
      <c r="B140" s="32">
        <v>0.42130843958712771</v>
      </c>
    </row>
    <row r="141" spans="1:2" x14ac:dyDescent="0.25">
      <c r="A141" s="5">
        <v>1.875</v>
      </c>
      <c r="B141" s="32">
        <v>0.42172586520947142</v>
      </c>
    </row>
    <row r="142" spans="1:2" x14ac:dyDescent="0.25">
      <c r="A142" s="5">
        <v>2</v>
      </c>
      <c r="B142" s="32">
        <v>0.42214329083181501</v>
      </c>
    </row>
    <row r="143" spans="1:2" x14ac:dyDescent="0.25">
      <c r="A143" s="5">
        <v>2.125</v>
      </c>
      <c r="B143" s="32">
        <v>0.42256071645415871</v>
      </c>
    </row>
    <row r="144" spans="1:2" x14ac:dyDescent="0.25">
      <c r="A144" s="5">
        <v>2.25</v>
      </c>
      <c r="B144" s="32">
        <v>0.42297814207650219</v>
      </c>
    </row>
    <row r="145" spans="1:2" x14ac:dyDescent="0.25">
      <c r="A145" s="5">
        <v>2.375</v>
      </c>
      <c r="B145" s="32">
        <v>0.42339556769884601</v>
      </c>
    </row>
    <row r="146" spans="1:2" x14ac:dyDescent="0.25">
      <c r="A146" s="5">
        <v>2.5</v>
      </c>
      <c r="B146" s="32">
        <v>0.42368009621166508</v>
      </c>
    </row>
    <row r="147" spans="1:2" x14ac:dyDescent="0.25">
      <c r="A147" s="5">
        <v>2.625</v>
      </c>
      <c r="B147" s="32">
        <v>0.42289085989176117</v>
      </c>
    </row>
    <row r="148" spans="1:2" x14ac:dyDescent="0.25">
      <c r="A148" s="5">
        <v>2.75</v>
      </c>
      <c r="B148" s="32">
        <v>0.42210162357185782</v>
      </c>
    </row>
    <row r="149" spans="1:2" x14ac:dyDescent="0.25">
      <c r="A149" s="5">
        <v>2.875</v>
      </c>
      <c r="B149" s="32">
        <v>0.42131238725195358</v>
      </c>
    </row>
    <row r="150" spans="1:2" x14ac:dyDescent="0.25">
      <c r="A150" s="5">
        <v>3</v>
      </c>
      <c r="B150" s="32">
        <v>0.42052315093204989</v>
      </c>
    </row>
    <row r="151" spans="1:2" x14ac:dyDescent="0.25">
      <c r="A151" s="5">
        <v>3.125</v>
      </c>
      <c r="B151" s="32">
        <v>0.41973391461214582</v>
      </c>
    </row>
    <row r="152" spans="1:2" x14ac:dyDescent="0.25">
      <c r="A152" s="5">
        <v>3.25</v>
      </c>
      <c r="B152" s="32">
        <v>0.41894467829224169</v>
      </c>
    </row>
    <row r="153" spans="1:2" x14ac:dyDescent="0.25">
      <c r="A153" s="5">
        <v>3.375</v>
      </c>
      <c r="B153" s="32">
        <v>0.41815544197233823</v>
      </c>
    </row>
    <row r="154" spans="1:2" x14ac:dyDescent="0.25">
      <c r="A154" s="5">
        <v>3.5</v>
      </c>
      <c r="B154" s="32">
        <v>0.41734632683658091</v>
      </c>
    </row>
    <row r="155" spans="1:2" x14ac:dyDescent="0.25">
      <c r="A155" s="5">
        <v>3.625</v>
      </c>
      <c r="B155" s="32">
        <v>0.41622188905547131</v>
      </c>
    </row>
    <row r="156" spans="1:2" x14ac:dyDescent="0.25">
      <c r="A156" s="5">
        <v>3.75</v>
      </c>
      <c r="B156" s="32">
        <v>0.41509745127436221</v>
      </c>
    </row>
    <row r="157" spans="1:2" x14ac:dyDescent="0.25">
      <c r="A157" s="5">
        <v>3.875</v>
      </c>
      <c r="B157" s="32">
        <v>0.41397301349325227</v>
      </c>
    </row>
    <row r="158" spans="1:2" x14ac:dyDescent="0.25">
      <c r="A158" s="8">
        <v>4</v>
      </c>
      <c r="B158" s="35">
        <v>0.41284857571214301</v>
      </c>
    </row>
  </sheetData>
  <sheetProtection algorithmName="SHA-512" hashValue="1IceszdKwvKJlHSrn/Ohbh7TQARruAQkQdrroozaj7kvBYoqzVPXhLtOXsj3F1cQK0/Lto53oX3IKU4yPynayA==" saltValue="YdEYfEPWn+dY6+fPopPPSg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5:R158"/>
  <sheetViews>
    <sheetView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40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0.12999999999999989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39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128</v>
      </c>
      <c r="B41" s="6">
        <v>61.418924764531681</v>
      </c>
      <c r="C41" s="6">
        <f>61.4189247645316 * $B$36 / 100</f>
        <v>61.418924764531603</v>
      </c>
      <c r="D41" s="6">
        <v>7.7386480338315149</v>
      </c>
      <c r="E41" s="7">
        <f>7.73864803383151 * $B$36 / 100</f>
        <v>7.7386480338315096</v>
      </c>
    </row>
    <row r="42" spans="1:5" x14ac:dyDescent="0.25">
      <c r="A42" s="5">
        <v>148</v>
      </c>
      <c r="B42" s="6">
        <v>66.043196047065123</v>
      </c>
      <c r="C42" s="6">
        <f>66.0431960470651 * $B$36 / 100</f>
        <v>66.043196047065095</v>
      </c>
      <c r="D42" s="6">
        <v>8.3212959392723231</v>
      </c>
      <c r="E42" s="7">
        <f>8.32129593927232 * $B$36 / 100</f>
        <v>8.3212959392723196</v>
      </c>
    </row>
    <row r="43" spans="1:5" x14ac:dyDescent="0.25">
      <c r="A43" s="5">
        <v>168</v>
      </c>
      <c r="B43" s="6">
        <v>70.364217959066053</v>
      </c>
      <c r="C43" s="6">
        <f>70.364217959066 * $B$36 / 100</f>
        <v>70.364217959065996</v>
      </c>
      <c r="D43" s="6">
        <v>8.8657350979135252</v>
      </c>
      <c r="E43" s="7">
        <f>8.86573509791352 * $B$36 / 100</f>
        <v>8.8657350979135199</v>
      </c>
    </row>
    <row r="44" spans="1:5" x14ac:dyDescent="0.25">
      <c r="A44" s="5">
        <v>188</v>
      </c>
      <c r="B44" s="6">
        <v>74.434821111297296</v>
      </c>
      <c r="C44" s="6">
        <f>74.4348211112973 * $B$36 / 100</f>
        <v>74.434821111297296</v>
      </c>
      <c r="D44" s="6">
        <v>9.3786220493098789</v>
      </c>
      <c r="E44" s="7">
        <f>9.37862204930987 * $B$36 / 100</f>
        <v>9.37862204930987</v>
      </c>
    </row>
    <row r="45" spans="1:5" x14ac:dyDescent="0.25">
      <c r="A45" s="5">
        <v>208</v>
      </c>
      <c r="B45" s="6">
        <v>78.294073969558539</v>
      </c>
      <c r="C45" s="6">
        <f>78.2940739695585 * $B$36 / 100</f>
        <v>78.294073969558497</v>
      </c>
      <c r="D45" s="6">
        <v>9.8648793333333327</v>
      </c>
      <c r="E45" s="7">
        <f>9.86487933333333 * $B$36 / 100</f>
        <v>9.8648793333333291</v>
      </c>
    </row>
    <row r="46" spans="1:5" x14ac:dyDescent="0.25">
      <c r="A46" s="5">
        <v>228</v>
      </c>
      <c r="B46" s="6">
        <v>82.087050918005602</v>
      </c>
      <c r="C46" s="6">
        <f>82.0870509180056 * $B$36 / 100</f>
        <v>82.087050918005602</v>
      </c>
      <c r="D46" s="6">
        <v>10.342786</v>
      </c>
      <c r="E46" s="7">
        <f>10.3427859999999 * $B$36 / 100</f>
        <v>10.342785999999901</v>
      </c>
    </row>
    <row r="47" spans="1:5" x14ac:dyDescent="0.25">
      <c r="A47" s="5">
        <v>248</v>
      </c>
      <c r="B47" s="6">
        <v>85.880027866452664</v>
      </c>
      <c r="C47" s="6">
        <f>85.8800278664526 * $B$36 / 100</f>
        <v>85.880027866452608</v>
      </c>
      <c r="D47" s="6">
        <v>10.820692666666661</v>
      </c>
      <c r="E47" s="7">
        <f>10.8206926666666 * $B$36 / 100</f>
        <v>10.8206926666666</v>
      </c>
    </row>
    <row r="48" spans="1:5" x14ac:dyDescent="0.25">
      <c r="A48" s="5">
        <v>268</v>
      </c>
      <c r="B48" s="6">
        <v>89.673004814899713</v>
      </c>
      <c r="C48" s="6">
        <f>89.6730048148997 * $B$36 / 100</f>
        <v>89.673004814899699</v>
      </c>
      <c r="D48" s="6">
        <v>11.29859933333333</v>
      </c>
      <c r="E48" s="7">
        <f>11.2985993333333 * $B$36 / 100</f>
        <v>11.2985993333333</v>
      </c>
    </row>
    <row r="49" spans="1:5" x14ac:dyDescent="0.25">
      <c r="A49" s="5">
        <v>288</v>
      </c>
      <c r="B49" s="6">
        <v>93.465981763346775</v>
      </c>
      <c r="C49" s="6">
        <f>93.4659817633467 * $B$36 / 100</f>
        <v>93.465981763346704</v>
      </c>
      <c r="D49" s="6">
        <v>11.776505999999999</v>
      </c>
      <c r="E49" s="7">
        <f>11.7765059999999 * $B$36 / 100</f>
        <v>11.7765059999999</v>
      </c>
    </row>
    <row r="50" spans="1:5" x14ac:dyDescent="0.25">
      <c r="A50" s="5">
        <v>308</v>
      </c>
      <c r="B50" s="6">
        <v>96.997081077267666</v>
      </c>
      <c r="C50" s="6">
        <f>96.9970810772676 * $B$36 / 100</f>
        <v>96.997081077267595</v>
      </c>
      <c r="D50" s="6">
        <v>12.221416666666659</v>
      </c>
      <c r="E50" s="7">
        <f>12.2214166666666 * $B$36 / 100</f>
        <v>12.221416666666601</v>
      </c>
    </row>
    <row r="51" spans="1:5" x14ac:dyDescent="0.25">
      <c r="A51" s="5">
        <v>328</v>
      </c>
      <c r="B51" s="6">
        <v>100.1353639393993</v>
      </c>
      <c r="C51" s="6">
        <f>100.135363939399 * $B$36 / 100</f>
        <v>100.135363939399</v>
      </c>
      <c r="D51" s="6">
        <v>12.61683333333333</v>
      </c>
      <c r="E51" s="7">
        <f>12.6168333333333 * $B$36 / 100</f>
        <v>12.6168333333333</v>
      </c>
    </row>
    <row r="52" spans="1:5" x14ac:dyDescent="0.25">
      <c r="A52" s="5">
        <v>348</v>
      </c>
      <c r="B52" s="6">
        <v>103.2736468015309</v>
      </c>
      <c r="C52" s="6">
        <f>103.27364680153 * $B$36 / 100</f>
        <v>103.27364680153001</v>
      </c>
      <c r="D52" s="6">
        <v>13.01225</v>
      </c>
      <c r="E52" s="7">
        <f>13.0122499999999 * $B$36 / 100</f>
        <v>13.012249999999902</v>
      </c>
    </row>
    <row r="53" spans="1:5" x14ac:dyDescent="0.25">
      <c r="A53" s="5">
        <v>368</v>
      </c>
      <c r="B53" s="6">
        <v>106.41192966366251</v>
      </c>
      <c r="C53" s="6">
        <f>106.411929663662 * $B$36 / 100</f>
        <v>106.41192966366199</v>
      </c>
      <c r="D53" s="6">
        <v>13.407666666666669</v>
      </c>
      <c r="E53" s="7">
        <f>13.4076666666666 * $B$36 / 100</f>
        <v>13.4076666666666</v>
      </c>
    </row>
    <row r="54" spans="1:5" x14ac:dyDescent="0.25">
      <c r="A54" s="5">
        <v>388</v>
      </c>
      <c r="B54" s="6">
        <v>109.55021252579409</v>
      </c>
      <c r="C54" s="6">
        <f>109.550212525794 * $B$36 / 100</f>
        <v>109.550212525794</v>
      </c>
      <c r="D54" s="6">
        <v>13.80308333333333</v>
      </c>
      <c r="E54" s="7">
        <f>13.8030833333333 * $B$36 / 100</f>
        <v>13.8030833333333</v>
      </c>
    </row>
    <row r="55" spans="1:5" x14ac:dyDescent="0.25">
      <c r="A55" s="5">
        <v>408</v>
      </c>
      <c r="B55" s="6">
        <v>112.49305278752711</v>
      </c>
      <c r="C55" s="6">
        <f>112.493052787527 * $B$36 / 100</f>
        <v>112.49305278752701</v>
      </c>
      <c r="D55" s="6">
        <v>14.173874666666659</v>
      </c>
      <c r="E55" s="7">
        <f>14.1738746666666 * $B$36 / 100</f>
        <v>14.173874666666599</v>
      </c>
    </row>
    <row r="56" spans="1:5" x14ac:dyDescent="0.25">
      <c r="A56" s="5">
        <v>428</v>
      </c>
      <c r="B56" s="6">
        <v>115.1427291486622</v>
      </c>
      <c r="C56" s="6">
        <f>115.142729148662 * $B$36 / 100</f>
        <v>115.142729148662</v>
      </c>
      <c r="D56" s="6">
        <v>14.507728</v>
      </c>
      <c r="E56" s="7">
        <f>14.5077279999999 * $B$36 / 100</f>
        <v>14.507727999999902</v>
      </c>
    </row>
    <row r="57" spans="1:5" x14ac:dyDescent="0.25">
      <c r="A57" s="5">
        <v>448</v>
      </c>
      <c r="B57" s="6">
        <v>117.79240550979731</v>
      </c>
      <c r="C57" s="6">
        <f>117.792405509797 * $B$36 / 100</f>
        <v>117.79240550979701</v>
      </c>
      <c r="D57" s="6">
        <v>14.84158133333333</v>
      </c>
      <c r="E57" s="7">
        <f>14.8415813333333 * $B$36 / 100</f>
        <v>14.8415813333333</v>
      </c>
    </row>
    <row r="58" spans="1:5" x14ac:dyDescent="0.25">
      <c r="A58" s="5">
        <v>468</v>
      </c>
      <c r="B58" s="6">
        <v>120.4420818709325</v>
      </c>
      <c r="C58" s="6">
        <f>120.442081870932 * $B$36 / 100</f>
        <v>120.442081870932</v>
      </c>
      <c r="D58" s="6">
        <v>15.17543466666667</v>
      </c>
      <c r="E58" s="7">
        <f>15.1754346666666 * $B$36 / 100</f>
        <v>15.175434666666598</v>
      </c>
    </row>
    <row r="59" spans="1:5" x14ac:dyDescent="0.25">
      <c r="A59" s="5">
        <v>488</v>
      </c>
      <c r="B59" s="6">
        <v>123.0917582320676</v>
      </c>
      <c r="C59" s="6">
        <f>123.091758232067 * $B$36 / 100</f>
        <v>123.09175823206698</v>
      </c>
      <c r="D59" s="6">
        <v>15.509288</v>
      </c>
      <c r="E59" s="7">
        <f>15.5092879999999 * $B$36 / 100</f>
        <v>15.509287999999902</v>
      </c>
    </row>
    <row r="60" spans="1:5" x14ac:dyDescent="0.25">
      <c r="A60" s="5">
        <v>508</v>
      </c>
      <c r="B60" s="6">
        <v>125.59543201820139</v>
      </c>
      <c r="C60" s="6">
        <f>125.595432018201 * $B$36 / 100</f>
        <v>125.595432018201</v>
      </c>
      <c r="D60" s="6">
        <v>15.824745333333331</v>
      </c>
      <c r="E60" s="7">
        <f>15.8247453333333 * $B$36 / 100</f>
        <v>15.824745333333301</v>
      </c>
    </row>
    <row r="61" spans="1:5" x14ac:dyDescent="0.25">
      <c r="A61" s="5">
        <v>528</v>
      </c>
      <c r="B61" s="6">
        <v>127.8801019418332</v>
      </c>
      <c r="C61" s="6">
        <f>127.880101941833 * $B$36 / 100</f>
        <v>127.880101941833</v>
      </c>
      <c r="D61" s="6">
        <v>16.11260866666667</v>
      </c>
      <c r="E61" s="7">
        <f>16.1126086666666 * $B$36 / 100</f>
        <v>16.112608666666599</v>
      </c>
    </row>
    <row r="62" spans="1:5" x14ac:dyDescent="0.25">
      <c r="A62" s="5">
        <v>548</v>
      </c>
      <c r="B62" s="6">
        <v>130.16477186546501</v>
      </c>
      <c r="C62" s="6">
        <f>130.164771865465 * $B$36 / 100</f>
        <v>130.16477186546501</v>
      </c>
      <c r="D62" s="6">
        <v>16.400472000000001</v>
      </c>
      <c r="E62" s="7">
        <f>16.400472 * $B$36 / 100</f>
        <v>16.400472000000001</v>
      </c>
    </row>
    <row r="63" spans="1:5" x14ac:dyDescent="0.25">
      <c r="A63" s="5">
        <v>568</v>
      </c>
      <c r="B63" s="6">
        <v>132.4494417890968</v>
      </c>
      <c r="C63" s="6">
        <f>132.449441789096 * $B$36 / 100</f>
        <v>132.449441789096</v>
      </c>
      <c r="D63" s="6">
        <v>16.688335333333331</v>
      </c>
      <c r="E63" s="7">
        <f>16.6883353333333 * $B$36 / 100</f>
        <v>16.688335333333299</v>
      </c>
    </row>
    <row r="64" spans="1:5" x14ac:dyDescent="0.25">
      <c r="A64" s="5">
        <v>588</v>
      </c>
      <c r="B64" s="6">
        <v>134.73411171272861</v>
      </c>
      <c r="C64" s="6">
        <f>134.734111712728 * $B$36 / 100</f>
        <v>134.73411171272801</v>
      </c>
      <c r="D64" s="6">
        <v>16.976198666666669</v>
      </c>
      <c r="E64" s="7">
        <f>16.9761986666666 * $B$36 / 100</f>
        <v>16.976198666666601</v>
      </c>
    </row>
    <row r="65" spans="1:18" x14ac:dyDescent="0.25">
      <c r="A65" s="5">
        <v>608</v>
      </c>
      <c r="B65" s="6">
        <v>137.00634799759351</v>
      </c>
      <c r="C65" s="6">
        <f>137.006347997593 * $B$36 / 100</f>
        <v>137.006347997593</v>
      </c>
      <c r="D65" s="6">
        <v>17.26249538914567</v>
      </c>
      <c r="E65" s="7">
        <f>17.2624953891456 * $B$36 / 100</f>
        <v>17.262495389145599</v>
      </c>
    </row>
    <row r="66" spans="1:18" x14ac:dyDescent="0.25">
      <c r="A66" s="5">
        <v>628</v>
      </c>
      <c r="B66" s="6">
        <v>139.2415093435049</v>
      </c>
      <c r="C66" s="6">
        <f>139.241509343504 * $B$36 / 100</f>
        <v>139.24150934350399</v>
      </c>
      <c r="D66" s="6">
        <v>17.5441207517053</v>
      </c>
      <c r="E66" s="7">
        <f>17.5441207517052 * $B$36 / 100</f>
        <v>17.544120751705201</v>
      </c>
    </row>
    <row r="67" spans="1:18" x14ac:dyDescent="0.25">
      <c r="A67" s="5">
        <v>648</v>
      </c>
      <c r="B67" s="6">
        <v>141.44135341857071</v>
      </c>
      <c r="C67" s="6">
        <f>141.44135341857 * $B$36 / 100</f>
        <v>141.44135341857</v>
      </c>
      <c r="D67" s="6">
        <v>17.821296216621199</v>
      </c>
      <c r="E67" s="7">
        <f>17.8212962166212 * $B$36 / 100</f>
        <v>17.821296216621199</v>
      </c>
    </row>
    <row r="68" spans="1:18" x14ac:dyDescent="0.25">
      <c r="A68" s="5">
        <v>668</v>
      </c>
      <c r="B68" s="6">
        <v>143.6075032492964</v>
      </c>
      <c r="C68" s="6">
        <f>143.607503249296 * $B$36 / 100</f>
        <v>143.607503249296</v>
      </c>
      <c r="D68" s="6">
        <v>18.094226281626351</v>
      </c>
      <c r="E68" s="7">
        <f>18.0942262816263 * $B$36 / 100</f>
        <v>18.094226281626302</v>
      </c>
    </row>
    <row r="69" spans="1:18" x14ac:dyDescent="0.25">
      <c r="A69" s="5">
        <v>688</v>
      </c>
      <c r="B69" s="6">
        <v>145.74146123226689</v>
      </c>
      <c r="C69" s="6">
        <f>145.741461232266 * $B$36 / 100</f>
        <v>145.741461232266</v>
      </c>
      <c r="D69" s="6">
        <v>18.36310024535177</v>
      </c>
      <c r="E69" s="7">
        <f>18.3631002453517 * $B$36 / 100</f>
        <v>18.363100245351699</v>
      </c>
    </row>
    <row r="70" spans="1:18" x14ac:dyDescent="0.25">
      <c r="A70" s="5">
        <v>708</v>
      </c>
      <c r="B70" s="6">
        <v>147.84462132501139</v>
      </c>
      <c r="C70" s="6">
        <f>147.844621325011 * $B$36 / 100</f>
        <v>147.84462132501099</v>
      </c>
      <c r="D70" s="6">
        <v>18.62809374334849</v>
      </c>
      <c r="E70" s="7">
        <f>18.6280937433484 * $B$36 / 100</f>
        <v>18.628093743348401</v>
      </c>
    </row>
    <row r="71" spans="1:18" x14ac:dyDescent="0.25">
      <c r="A71" s="5">
        <v>728</v>
      </c>
      <c r="B71" s="6">
        <v>149.91827969715919</v>
      </c>
      <c r="C71" s="6">
        <f>149.918279697159 * $B$36 / 100</f>
        <v>149.91827969715899</v>
      </c>
      <c r="D71" s="6">
        <v>18.889370090109409</v>
      </c>
      <c r="E71" s="7">
        <f>18.8893700901094 * $B$36 / 100</f>
        <v>18.889370090109399</v>
      </c>
    </row>
    <row r="72" spans="1:18" x14ac:dyDescent="0.25">
      <c r="A72" s="5">
        <v>748</v>
      </c>
      <c r="B72" s="6">
        <v>151.96364407309841</v>
      </c>
      <c r="C72" s="6">
        <f>151.963644073098 * $B$36 / 100</f>
        <v>151.96364407309801</v>
      </c>
      <c r="D72" s="6">
        <v>19.14708145622356</v>
      </c>
      <c r="E72" s="7">
        <f>19.1470814562235 * $B$36 / 100</f>
        <v>19.1470814562235</v>
      </c>
    </row>
    <row r="73" spans="1:18" x14ac:dyDescent="0.25">
      <c r="A73" s="8">
        <v>768</v>
      </c>
      <c r="B73" s="9">
        <v>153.98184195740421</v>
      </c>
      <c r="C73" s="9">
        <f>153.981841957404 * $B$36 / 100</f>
        <v>153.98184195740399</v>
      </c>
      <c r="D73" s="9">
        <v>19.401369904761911</v>
      </c>
      <c r="E73" s="10">
        <f>19.4013699047619 * $B$36 / 100</f>
        <v>19.4013699047619</v>
      </c>
    </row>
    <row r="75" spans="1:18" ht="28.9" customHeight="1" x14ac:dyDescent="0.5">
      <c r="A75" s="1" t="s">
        <v>23</v>
      </c>
      <c r="B75" s="1"/>
    </row>
    <row r="76" spans="1:18" x14ac:dyDescent="0.25">
      <c r="A76" s="21" t="s">
        <v>24</v>
      </c>
      <c r="B76" s="22">
        <v>0</v>
      </c>
      <c r="C76" s="22">
        <v>6.25</v>
      </c>
      <c r="D76" s="22">
        <v>12.5</v>
      </c>
      <c r="E76" s="22">
        <v>18.75</v>
      </c>
      <c r="F76" s="22">
        <v>25</v>
      </c>
      <c r="G76" s="22">
        <v>31.25</v>
      </c>
      <c r="H76" s="22">
        <v>37.5</v>
      </c>
      <c r="I76" s="22">
        <v>43.75</v>
      </c>
      <c r="J76" s="22">
        <v>50</v>
      </c>
      <c r="K76" s="22">
        <v>56.25</v>
      </c>
      <c r="L76" s="22">
        <v>62.5</v>
      </c>
      <c r="M76" s="22">
        <v>68.75</v>
      </c>
      <c r="N76" s="22">
        <v>75</v>
      </c>
      <c r="O76" s="22">
        <v>81.25</v>
      </c>
      <c r="P76" s="22">
        <v>87.5</v>
      </c>
      <c r="Q76" s="22">
        <v>93.75</v>
      </c>
      <c r="R76" s="23">
        <v>100</v>
      </c>
    </row>
    <row r="77" spans="1:18" x14ac:dyDescent="0.25">
      <c r="A77" s="5" t="s">
        <v>25</v>
      </c>
      <c r="B77" s="6">
        <f>0 * $B$38 + (1 - 0) * $B$37</f>
        <v>14.7</v>
      </c>
      <c r="C77" s="6">
        <f>0.0625 * $B$38 + (1 - 0.0625) * $B$37</f>
        <v>14.344250000000001</v>
      </c>
      <c r="D77" s="6">
        <f>0.125 * $B$38 + (1 - 0.125) * $B$37</f>
        <v>13.988499999999998</v>
      </c>
      <c r="E77" s="6">
        <f>0.1875 * $B$38 + (1 - 0.1875) * $B$37</f>
        <v>13.63275</v>
      </c>
      <c r="F77" s="6">
        <f>0.25 * $B$38 + (1 - 0.25) * $B$37</f>
        <v>13.276999999999997</v>
      </c>
      <c r="G77" s="6">
        <f>0.3125 * $B$38 + (1 - 0.3125) * $B$37</f>
        <v>12.921249999999999</v>
      </c>
      <c r="H77" s="6">
        <f>0.375 * $B$38 + (1 - 0.375) * $B$37</f>
        <v>12.5655</v>
      </c>
      <c r="I77" s="6">
        <f>0.4375 * $B$38 + (1 - 0.4375) * $B$37</f>
        <v>12.20975</v>
      </c>
      <c r="J77" s="6">
        <f>0.5 * $B$38 + (1 - 0.5) * $B$37</f>
        <v>11.853999999999999</v>
      </c>
      <c r="K77" s="6">
        <f>0.5625 * $B$38 + (1 - 0.5625) * $B$37</f>
        <v>11.498249999999999</v>
      </c>
      <c r="L77" s="6">
        <f>0.625 * $B$38 + (1 - 0.625) * $B$37</f>
        <v>11.142499999999998</v>
      </c>
      <c r="M77" s="6">
        <f>0.6875 * $B$38 + (1 - 0.6875) * $B$37</f>
        <v>10.78675</v>
      </c>
      <c r="N77" s="6">
        <f>0.75 * $B$38 + (1 - 0.75) * $B$37</f>
        <v>10.430999999999999</v>
      </c>
      <c r="O77" s="6">
        <f>0.8125 * $B$38 + (1 - 0.8125) * $B$37</f>
        <v>10.075249999999999</v>
      </c>
      <c r="P77" s="6">
        <f>0.875 * $B$38 + (1 - 0.875) * $B$37</f>
        <v>9.7195</v>
      </c>
      <c r="Q77" s="6">
        <f>0.9375 * $B$38 + (1 - 0.9375) * $B$37</f>
        <v>9.3637499999999978</v>
      </c>
      <c r="R77" s="7">
        <f>1 * $B$38 + (1 - 1) * $B$37</f>
        <v>9.0079999999999991</v>
      </c>
    </row>
    <row r="78" spans="1:18" x14ac:dyDescent="0.25">
      <c r="A78" s="8" t="s">
        <v>26</v>
      </c>
      <c r="B78" s="9">
        <f>(0 * $B$38 + (1 - 0) * $B$37) * $B$36 / 100</f>
        <v>14.7</v>
      </c>
      <c r="C78" s="9">
        <f>(0.0625 * $B$38 + (1 - 0.0625) * $B$37) * $B$36 / 100</f>
        <v>14.344249999999999</v>
      </c>
      <c r="D78" s="9">
        <f>(0.125 * $B$38 + (1 - 0.125) * $B$37) * $B$36 / 100</f>
        <v>13.988499999999998</v>
      </c>
      <c r="E78" s="9">
        <f>(0.1875 * $B$38 + (1 - 0.1875) * $B$37) * $B$36 / 100</f>
        <v>13.632749999999998</v>
      </c>
      <c r="F78" s="9">
        <f>(0.25 * $B$38 + (1 - 0.25) * $B$37) * $B$36 / 100</f>
        <v>13.276999999999997</v>
      </c>
      <c r="G78" s="9">
        <f>(0.3125 * $B$38 + (1 - 0.3125) * $B$37) * $B$36 / 100</f>
        <v>12.921249999999997</v>
      </c>
      <c r="H78" s="9">
        <f>(0.375 * $B$38 + (1 - 0.375) * $B$37) * $B$36 / 100</f>
        <v>12.5655</v>
      </c>
      <c r="I78" s="9">
        <f>(0.4375 * $B$38 + (1 - 0.4375) * $B$37) * $B$36 / 100</f>
        <v>12.20975</v>
      </c>
      <c r="J78" s="9">
        <f>(0.5 * $B$38 + (1 - 0.5) * $B$37) * $B$36 / 100</f>
        <v>11.853999999999999</v>
      </c>
      <c r="K78" s="9">
        <f>(0.5625 * $B$38 + (1 - 0.5625) * $B$37) * $B$36 / 100</f>
        <v>11.498249999999999</v>
      </c>
      <c r="L78" s="9">
        <f>(0.625 * $B$38 + (1 - 0.625) * $B$37) * $B$36 / 100</f>
        <v>11.142499999999998</v>
      </c>
      <c r="M78" s="9">
        <f>(0.6875 * $B$38 + (1 - 0.6875) * $B$37) * $B$36 / 100</f>
        <v>10.78675</v>
      </c>
      <c r="N78" s="9">
        <f>(0.75 * $B$38 + (1 - 0.75) * $B$37) * $B$36 / 100</f>
        <v>10.430999999999999</v>
      </c>
      <c r="O78" s="9">
        <f>(0.8125 * $B$38 + (1 - 0.8125) * $B$37) * $B$36 / 100</f>
        <v>10.075249999999999</v>
      </c>
      <c r="P78" s="9">
        <f>(0.875 * $B$38 + (1 - 0.875) * $B$37) * $B$36 / 100</f>
        <v>9.7195</v>
      </c>
      <c r="Q78" s="9">
        <f>(0.9375 * $B$38 + (1 - 0.9375) * $B$37) * $B$36 / 100</f>
        <v>9.3637499999999978</v>
      </c>
      <c r="R78" s="10">
        <f>(1 * $B$38 + (1 - 1) * $B$37) * $B$36 / 100</f>
        <v>9.0079999999999991</v>
      </c>
    </row>
    <row r="80" spans="1:18" ht="28.9" customHeight="1" x14ac:dyDescent="0.5">
      <c r="A80" s="1" t="s">
        <v>27</v>
      </c>
      <c r="B80" s="1"/>
    </row>
    <row r="81" spans="1:18" x14ac:dyDescent="0.25">
      <c r="A81" s="24" t="s">
        <v>28</v>
      </c>
      <c r="B81" s="25" t="s">
        <v>29</v>
      </c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x14ac:dyDescent="0.25">
      <c r="A82" s="27" t="s">
        <v>39</v>
      </c>
      <c r="B82" s="28">
        <v>4</v>
      </c>
      <c r="C82" s="28">
        <v>5</v>
      </c>
      <c r="D82" s="28">
        <v>6</v>
      </c>
      <c r="E82" s="28">
        <v>7</v>
      </c>
      <c r="F82" s="28">
        <v>8</v>
      </c>
      <c r="G82" s="28">
        <v>9</v>
      </c>
      <c r="H82" s="28">
        <v>10</v>
      </c>
      <c r="I82" s="28">
        <v>11</v>
      </c>
      <c r="J82" s="28">
        <v>12</v>
      </c>
      <c r="K82" s="28">
        <v>13</v>
      </c>
      <c r="L82" s="28">
        <v>14</v>
      </c>
      <c r="M82" s="28">
        <v>15</v>
      </c>
      <c r="N82" s="28">
        <v>16</v>
      </c>
      <c r="O82" s="28">
        <v>17</v>
      </c>
      <c r="P82" s="28">
        <v>18</v>
      </c>
      <c r="Q82" s="28">
        <v>19</v>
      </c>
      <c r="R82" s="29">
        <v>20</v>
      </c>
    </row>
    <row r="83" spans="1:18" x14ac:dyDescent="0.25">
      <c r="A83" s="30">
        <v>128</v>
      </c>
      <c r="B83" s="31">
        <v>4.8208830122914588</v>
      </c>
      <c r="C83" s="31">
        <v>3.856272723265159</v>
      </c>
      <c r="D83" s="31">
        <v>3.1108338076633149</v>
      </c>
      <c r="E83" s="31">
        <v>2.544241070141064</v>
      </c>
      <c r="F83" s="31">
        <v>2.1202724868221958</v>
      </c>
      <c r="G83" s="31">
        <v>1.806809205299126</v>
      </c>
      <c r="H83" s="31">
        <v>1.575835544632908</v>
      </c>
      <c r="I83" s="31">
        <v>1.4034389953532409</v>
      </c>
      <c r="J83" s="31">
        <v>1.26981021945844</v>
      </c>
      <c r="K83" s="31">
        <v>1.159243050415468</v>
      </c>
      <c r="L83" s="31">
        <v>1.0601344931599279</v>
      </c>
      <c r="M83" s="31">
        <v>0.96498472409606362</v>
      </c>
      <c r="N83" s="31">
        <v>0.87039709109674335</v>
      </c>
      <c r="O83" s="31">
        <v>0.7770781135034569</v>
      </c>
      <c r="P83" s="31">
        <v>0.68983748212637164</v>
      </c>
      <c r="Q83" s="31">
        <v>0.61758805924427307</v>
      </c>
      <c r="R83" s="32">
        <v>0.57334587860454533</v>
      </c>
    </row>
    <row r="84" spans="1:18" x14ac:dyDescent="0.25">
      <c r="A84" s="30">
        <v>148</v>
      </c>
      <c r="B84" s="31">
        <v>4.9569290290335513</v>
      </c>
      <c r="C84" s="31">
        <v>3.9558882416990011</v>
      </c>
      <c r="D84" s="31">
        <v>3.1809128489917851</v>
      </c>
      <c r="E84" s="31">
        <v>2.59101531370673</v>
      </c>
      <c r="F84" s="31">
        <v>2.1493112701073009</v>
      </c>
      <c r="G84" s="31">
        <v>1.8230195239255991</v>
      </c>
      <c r="H84" s="31">
        <v>1.583462052362359</v>
      </c>
      <c r="I84" s="31">
        <v>1.4060640040869621</v>
      </c>
      <c r="J84" s="31">
        <v>1.2703536992374069</v>
      </c>
      <c r="K84" s="31">
        <v>1.1599626294203369</v>
      </c>
      <c r="L84" s="31">
        <v>1.0626254577110399</v>
      </c>
      <c r="M84" s="31">
        <v>0.97018001865343639</v>
      </c>
      <c r="N84" s="31">
        <v>0.87856731826008005</v>
      </c>
      <c r="O84" s="31">
        <v>0.78783153401216</v>
      </c>
      <c r="P84" s="31">
        <v>0.70212001485949227</v>
      </c>
      <c r="Q84" s="31">
        <v>0.62968328122056527</v>
      </c>
      <c r="R84" s="32">
        <v>0.58287502498245669</v>
      </c>
    </row>
    <row r="85" spans="1:18" x14ac:dyDescent="0.25">
      <c r="A85" s="30">
        <v>168</v>
      </c>
      <c r="B85" s="31">
        <v>5.1011602366726176</v>
      </c>
      <c r="C85" s="31">
        <v>4.0624194431405467</v>
      </c>
      <c r="D85" s="31">
        <v>3.256744980914124</v>
      </c>
      <c r="E85" s="31">
        <v>2.6424869709278549</v>
      </c>
      <c r="F85" s="31">
        <v>2.1820987055848922</v>
      </c>
      <c r="G85" s="31">
        <v>1.8421366487570101</v>
      </c>
      <c r="H85" s="31">
        <v>1.5932604357846381</v>
      </c>
      <c r="I85" s="31">
        <v>1.4102328734768239</v>
      </c>
      <c r="J85" s="31">
        <v>1.271919940111266</v>
      </c>
      <c r="K85" s="31">
        <v>1.161290785434282</v>
      </c>
      <c r="L85" s="31">
        <v>1.065417730660843</v>
      </c>
      <c r="M85" s="31">
        <v>0.97547626847454993</v>
      </c>
      <c r="N85" s="31">
        <v>0.88674506302763945</v>
      </c>
      <c r="O85" s="31">
        <v>0.79860594994097767</v>
      </c>
      <c r="P85" s="31">
        <v>0.71454393630407487</v>
      </c>
      <c r="Q85" s="31">
        <v>0.64214720067508324</v>
      </c>
      <c r="R85" s="32">
        <v>0.59310709308077492</v>
      </c>
    </row>
    <row r="86" spans="1:18" x14ac:dyDescent="0.25">
      <c r="A86" s="30">
        <v>188</v>
      </c>
      <c r="B86" s="31">
        <v>5.2536773791250972</v>
      </c>
      <c r="C86" s="31">
        <v>4.1759589548550391</v>
      </c>
      <c r="D86" s="31">
        <v>3.3384147140443741</v>
      </c>
      <c r="E86" s="31">
        <v>2.6987324357672859</v>
      </c>
      <c r="F86" s="31">
        <v>2.2187030705666122</v>
      </c>
      <c r="G86" s="31">
        <v>1.864220740453814</v>
      </c>
      <c r="H86" s="31">
        <v>1.6052827389089941</v>
      </c>
      <c r="I86" s="31">
        <v>1.4159895308808921</v>
      </c>
      <c r="J86" s="31">
        <v>1.274544752786883</v>
      </c>
      <c r="K86" s="31">
        <v>1.1632552125129569</v>
      </c>
      <c r="L86" s="31">
        <v>1.0685308894137879</v>
      </c>
      <c r="M86" s="31">
        <v>0.9808849343126359</v>
      </c>
      <c r="N86" s="31">
        <v>0.89493366950144271</v>
      </c>
      <c r="O86" s="31">
        <v>0.80939658874074816</v>
      </c>
      <c r="P86" s="31">
        <v>0.72709635725974309</v>
      </c>
      <c r="Q86" s="31">
        <v>0.65495881175627346</v>
      </c>
      <c r="R86" s="32">
        <v>0.60401296039677266</v>
      </c>
    </row>
    <row r="87" spans="1:18" x14ac:dyDescent="0.25">
      <c r="A87" s="30">
        <v>208</v>
      </c>
      <c r="B87" s="31">
        <v>5.4145818164540138</v>
      </c>
      <c r="C87" s="31">
        <v>4.2966000202543064</v>
      </c>
      <c r="D87" s="31">
        <v>3.4260071751431611</v>
      </c>
      <c r="E87" s="31">
        <v>2.7598287183344552</v>
      </c>
      <c r="F87" s="31">
        <v>2.2591932585106989</v>
      </c>
      <c r="G87" s="31">
        <v>1.8893325758230439</v>
      </c>
      <c r="H87" s="31">
        <v>1.6195816218912651</v>
      </c>
      <c r="I87" s="31">
        <v>1.423378519803796</v>
      </c>
      <c r="J87" s="31">
        <v>1.278264564117682</v>
      </c>
      <c r="K87" s="31">
        <v>1.1658842208586091</v>
      </c>
      <c r="L87" s="31">
        <v>1.0719851275209269</v>
      </c>
      <c r="M87" s="31">
        <v>0.98641809306757733</v>
      </c>
      <c r="N87" s="31">
        <v>0.90313709793018748</v>
      </c>
      <c r="O87" s="31">
        <v>0.82019929400896507</v>
      </c>
      <c r="P87" s="31">
        <v>0.73976500467280082</v>
      </c>
      <c r="Q87" s="31">
        <v>0.66809772475921381</v>
      </c>
      <c r="R87" s="32">
        <v>0.61556412057433008</v>
      </c>
    </row>
    <row r="88" spans="1:18" x14ac:dyDescent="0.25">
      <c r="A88" s="30">
        <v>228</v>
      </c>
      <c r="B88" s="31">
        <v>5.5839755248689844</v>
      </c>
      <c r="C88" s="31">
        <v>4.4244364988967586</v>
      </c>
      <c r="D88" s="31">
        <v>3.519608107117711</v>
      </c>
      <c r="E88" s="31">
        <v>2.8258534448853831</v>
      </c>
      <c r="F88" s="31">
        <v>2.3036387790219792</v>
      </c>
      <c r="G88" s="31">
        <v>1.9175335478183291</v>
      </c>
      <c r="H88" s="31">
        <v>1.6362103610338901</v>
      </c>
      <c r="I88" s="31">
        <v>1.4324449998967741</v>
      </c>
      <c r="J88" s="31">
        <v>1.2831164171037219</v>
      </c>
      <c r="K88" s="31">
        <v>1.1692067368200889</v>
      </c>
      <c r="L88" s="31">
        <v>1.075801254679903</v>
      </c>
      <c r="M88" s="31">
        <v>0.99208843778580635</v>
      </c>
      <c r="N88" s="31">
        <v>0.91135992470908689</v>
      </c>
      <c r="O88" s="31">
        <v>0.83101052548966703</v>
      </c>
      <c r="P88" s="31">
        <v>0.75253822163608286</v>
      </c>
      <c r="Q88" s="31">
        <v>0.68154416612555802</v>
      </c>
      <c r="R88" s="32">
        <v>0.62773268340388433</v>
      </c>
    </row>
    <row r="89" spans="1:18" x14ac:dyDescent="0.25">
      <c r="A89" s="30">
        <v>248</v>
      </c>
      <c r="B89" s="31">
        <v>5.7619610967262123</v>
      </c>
      <c r="C89" s="31">
        <v>4.5595628664874148</v>
      </c>
      <c r="D89" s="31">
        <v>3.6193038690218282</v>
      </c>
      <c r="E89" s="31">
        <v>2.8968848578226849</v>
      </c>
      <c r="F89" s="31">
        <v>2.352109757851867</v>
      </c>
      <c r="G89" s="31">
        <v>1.948885665539881</v>
      </c>
      <c r="H89" s="31">
        <v>1.65522284878588</v>
      </c>
      <c r="I89" s="31">
        <v>1.4432347469576501</v>
      </c>
      <c r="J89" s="31">
        <v>1.289137970891608</v>
      </c>
      <c r="K89" s="31">
        <v>1.1732523028928059</v>
      </c>
      <c r="L89" s="31">
        <v>1.0800006967349469</v>
      </c>
      <c r="M89" s="31">
        <v>0.99790927766035642</v>
      </c>
      <c r="N89" s="31">
        <v>0.91960734237999742</v>
      </c>
      <c r="O89" s="31">
        <v>0.84182735907347561</v>
      </c>
      <c r="P89" s="31">
        <v>0.76540496738902764</v>
      </c>
      <c r="Q89" s="31">
        <v>0.69527897844353947</v>
      </c>
      <c r="R89" s="32">
        <v>0.64049137482250285</v>
      </c>
    </row>
    <row r="90" spans="1:18" x14ac:dyDescent="0.25">
      <c r="A90" s="30">
        <v>268</v>
      </c>
      <c r="B90" s="31">
        <v>5.9486417405284842</v>
      </c>
      <c r="C90" s="31">
        <v>4.7020742148778583</v>
      </c>
      <c r="D90" s="31">
        <v>3.7251814360559128</v>
      </c>
      <c r="E90" s="31">
        <v>2.9730018156955569</v>
      </c>
      <c r="F90" s="31">
        <v>2.4046769368983592</v>
      </c>
      <c r="G90" s="31">
        <v>1.9834515542345099</v>
      </c>
      <c r="H90" s="31">
        <v>1.676673593742845</v>
      </c>
      <c r="I90" s="31">
        <v>1.455794152930828</v>
      </c>
      <c r="J90" s="31">
        <v>1.2963675007745641</v>
      </c>
      <c r="K90" s="31">
        <v>1.178051077718782</v>
      </c>
      <c r="L90" s="31">
        <v>1.0846054956768709</v>
      </c>
      <c r="M90" s="31">
        <v>1.0038945380308339</v>
      </c>
      <c r="N90" s="31">
        <v>0.92788515963133189</v>
      </c>
      <c r="O90" s="31">
        <v>0.85264748679763258</v>
      </c>
      <c r="P90" s="31">
        <v>0.77835481731766265</v>
      </c>
      <c r="Q90" s="31">
        <v>0.70928362044799065</v>
      </c>
      <c r="R90" s="32">
        <v>0.65381353691377697</v>
      </c>
    </row>
    <row r="91" spans="1:18" x14ac:dyDescent="0.25">
      <c r="A91" s="30">
        <v>288</v>
      </c>
      <c r="B91" s="31">
        <v>6.1441212809251917</v>
      </c>
      <c r="C91" s="31">
        <v>4.8520662520662814</v>
      </c>
      <c r="D91" s="31">
        <v>3.837328399566946</v>
      </c>
      <c r="E91" s="31">
        <v>3.0542837931997902</v>
      </c>
      <c r="F91" s="31">
        <v>2.4614116742060519</v>
      </c>
      <c r="G91" s="31">
        <v>2.0212944552956098</v>
      </c>
      <c r="H91" s="31">
        <v>1.7006177206469819</v>
      </c>
      <c r="I91" s="31">
        <v>1.4701702259073111</v>
      </c>
      <c r="J91" s="31">
        <v>1.304843898192386</v>
      </c>
      <c r="K91" s="31">
        <v>1.1836338360866201</v>
      </c>
      <c r="L91" s="31">
        <v>1.0896383096430851</v>
      </c>
      <c r="M91" s="31">
        <v>1.010058760383459</v>
      </c>
      <c r="N91" s="31">
        <v>0.93619980129809321</v>
      </c>
      <c r="O91" s="31">
        <v>0.8634692168459428</v>
      </c>
      <c r="P91" s="31">
        <v>0.79137796295460217</v>
      </c>
      <c r="Q91" s="31">
        <v>0.72354016702033164</v>
      </c>
      <c r="R91" s="32">
        <v>0.66767312790797817</v>
      </c>
    </row>
    <row r="92" spans="1:18" x14ac:dyDescent="0.25">
      <c r="A92" s="30">
        <v>308</v>
      </c>
      <c r="B92" s="31">
        <v>6.3485041587123039</v>
      </c>
      <c r="C92" s="31">
        <v>5.009635302197454</v>
      </c>
      <c r="D92" s="31">
        <v>3.9558329670485151</v>
      </c>
      <c r="E92" s="31">
        <v>3.1408108811777629</v>
      </c>
      <c r="F92" s="31">
        <v>2.52238594396613</v>
      </c>
      <c r="G92" s="31">
        <v>2.0624782262631678</v>
      </c>
      <c r="H92" s="31">
        <v>1.7271109703870759</v>
      </c>
      <c r="I92" s="31">
        <v>1.48641059012469</v>
      </c>
      <c r="J92" s="31">
        <v>1.3146066707314741</v>
      </c>
      <c r="K92" s="31">
        <v>1.1900319689315251</v>
      </c>
      <c r="L92" s="31">
        <v>1.09512241291759</v>
      </c>
      <c r="M92" s="31">
        <v>1.0164171023510431</v>
      </c>
      <c r="N92" s="31">
        <v>0.94455830836190391</v>
      </c>
      <c r="O92" s="31">
        <v>0.87429147354881753</v>
      </c>
      <c r="P92" s="31">
        <v>0.80446521197906751</v>
      </c>
      <c r="Q92" s="31">
        <v>0.73803130918857085</v>
      </c>
      <c r="R92" s="32">
        <v>0.68204472218188894</v>
      </c>
    </row>
    <row r="93" spans="1:18" x14ac:dyDescent="0.25">
      <c r="A93" s="30">
        <v>328</v>
      </c>
      <c r="B93" s="31">
        <v>6.5618954308323794</v>
      </c>
      <c r="C93" s="31">
        <v>5.1748783055627436</v>
      </c>
      <c r="D93" s="31">
        <v>4.080783962140778</v>
      </c>
      <c r="E93" s="31">
        <v>3.2326637866184469</v>
      </c>
      <c r="F93" s="31">
        <v>2.5876723365163592</v>
      </c>
      <c r="G93" s="31">
        <v>2.1070673408237521</v>
      </c>
      <c r="H93" s="31">
        <v>1.756209699998508</v>
      </c>
      <c r="I93" s="31">
        <v>1.5045634859671411</v>
      </c>
      <c r="J93" s="31">
        <v>1.3256959421247969</v>
      </c>
      <c r="K93" s="31">
        <v>1.197277483335268</v>
      </c>
      <c r="L93" s="31">
        <v>1.1010816959309639</v>
      </c>
      <c r="M93" s="31">
        <v>1.022985337712961</v>
      </c>
      <c r="N93" s="31">
        <v>0.95296833795094749</v>
      </c>
      <c r="O93" s="31">
        <v>0.88511379738325191</v>
      </c>
      <c r="P93" s="31">
        <v>0.81760798821683189</v>
      </c>
      <c r="Q93" s="31">
        <v>0.75274035412731866</v>
      </c>
      <c r="R93" s="32">
        <v>0.69690351025892727</v>
      </c>
    </row>
    <row r="94" spans="1:18" x14ac:dyDescent="0.25">
      <c r="A94" s="30">
        <v>348</v>
      </c>
      <c r="B94" s="31">
        <v>6.784400770374571</v>
      </c>
      <c r="C94" s="31">
        <v>5.3478928186000969</v>
      </c>
      <c r="D94" s="31">
        <v>4.2122708246304921</v>
      </c>
      <c r="E94" s="31">
        <v>3.3299238326573959</v>
      </c>
      <c r="F94" s="31">
        <v>2.6573440583410979</v>
      </c>
      <c r="G94" s="31">
        <v>2.1551268888105262</v>
      </c>
      <c r="H94" s="31">
        <v>1.787970882663235</v>
      </c>
      <c r="I94" s="31">
        <v>1.5246777699654339</v>
      </c>
      <c r="J94" s="31">
        <v>1.3381524522519379</v>
      </c>
      <c r="K94" s="31">
        <v>1.205403002526219</v>
      </c>
      <c r="L94" s="31">
        <v>1.107540665260391</v>
      </c>
      <c r="M94" s="31">
        <v>1.029779856395181</v>
      </c>
      <c r="N94" s="31">
        <v>0.9614381633399901</v>
      </c>
      <c r="O94" s="31">
        <v>0.89593634497281438</v>
      </c>
      <c r="P94" s="31">
        <v>0.83079833164029915</v>
      </c>
      <c r="Q94" s="31">
        <v>0.76765122515774209</v>
      </c>
      <c r="R94" s="32">
        <v>0.7122252988090596</v>
      </c>
    </row>
    <row r="95" spans="1:18" x14ac:dyDescent="0.25">
      <c r="A95" s="30">
        <v>368</v>
      </c>
      <c r="B95" s="31">
        <v>7.0161264665746161</v>
      </c>
      <c r="C95" s="31">
        <v>5.5287770138940653</v>
      </c>
      <c r="D95" s="31">
        <v>4.3503836104510052</v>
      </c>
      <c r="E95" s="31">
        <v>3.4326729585767599</v>
      </c>
      <c r="F95" s="31">
        <v>2.731474932071305</v>
      </c>
      <c r="G95" s="31">
        <v>2.2067225762032461</v>
      </c>
      <c r="H95" s="31">
        <v>1.822452107709823</v>
      </c>
      <c r="I95" s="31">
        <v>1.54680291479692</v>
      </c>
      <c r="J95" s="31">
        <v>1.352017557139048</v>
      </c>
      <c r="K95" s="31">
        <v>1.214441765879354</v>
      </c>
      <c r="L95" s="31">
        <v>1.1145244436296231</v>
      </c>
      <c r="M95" s="31">
        <v>1.036817664470292</v>
      </c>
      <c r="N95" s="31">
        <v>0.96997667395040965</v>
      </c>
      <c r="O95" s="31">
        <v>0.90675988908768446</v>
      </c>
      <c r="P95" s="31">
        <v>0.84402889836843553</v>
      </c>
      <c r="Q95" s="31">
        <v>0.78274846174763724</v>
      </c>
      <c r="R95" s="32">
        <v>0.72798651064888276</v>
      </c>
    </row>
    <row r="96" spans="1:18" x14ac:dyDescent="0.25">
      <c r="A96" s="30">
        <v>388</v>
      </c>
      <c r="B96" s="31">
        <v>7.25717942481484</v>
      </c>
      <c r="C96" s="31">
        <v>5.7176296801757687</v>
      </c>
      <c r="D96" s="31">
        <v>4.495212991682247</v>
      </c>
      <c r="E96" s="31">
        <v>3.5409937198052752</v>
      </c>
      <c r="F96" s="31">
        <v>2.8101393964845149</v>
      </c>
      <c r="G96" s="31">
        <v>2.2619207251282498</v>
      </c>
      <c r="H96" s="31">
        <v>1.859711580613409</v>
      </c>
      <c r="I96" s="31">
        <v>1.5709890092855561</v>
      </c>
      <c r="J96" s="31">
        <v>1.367333228958884</v>
      </c>
      <c r="K96" s="31">
        <v>1.224427628916211</v>
      </c>
      <c r="L96" s="31">
        <v>1.122058769909035</v>
      </c>
      <c r="M96" s="31">
        <v>1.044116384157445</v>
      </c>
      <c r="N96" s="31">
        <v>0.97859337535019009</v>
      </c>
      <c r="O96" s="31">
        <v>0.9175858186446374</v>
      </c>
      <c r="P96" s="31">
        <v>0.8572929606668076</v>
      </c>
      <c r="Q96" s="31">
        <v>0.79801721951136517</v>
      </c>
      <c r="R96" s="32">
        <v>0.74416418474156387</v>
      </c>
    </row>
    <row r="97" spans="1:18" x14ac:dyDescent="0.25">
      <c r="A97" s="30">
        <v>408</v>
      </c>
      <c r="B97" s="31">
        <v>7.5076671666241692</v>
      </c>
      <c r="C97" s="31">
        <v>5.9145502223229389</v>
      </c>
      <c r="D97" s="31">
        <v>4.6468502565507386</v>
      </c>
      <c r="E97" s="31">
        <v>3.6549692879182638</v>
      </c>
      <c r="F97" s="31">
        <v>2.893412506504851</v>
      </c>
      <c r="G97" s="31">
        <v>2.32078827385847</v>
      </c>
      <c r="H97" s="31">
        <v>1.8998081229957271</v>
      </c>
      <c r="I97" s="31">
        <v>1.5972867584018651</v>
      </c>
      <c r="J97" s="31">
        <v>1.384142056030768</v>
      </c>
      <c r="K97" s="31">
        <v>1.2353950633049411</v>
      </c>
      <c r="L97" s="31">
        <v>1.1301699991155469</v>
      </c>
      <c r="M97" s="31">
        <v>1.0516942538223659</v>
      </c>
      <c r="N97" s="31">
        <v>0.98729838925383562</v>
      </c>
      <c r="O97" s="31">
        <v>0.92841613870700013</v>
      </c>
      <c r="P97" s="31">
        <v>0.87058440694756811</v>
      </c>
      <c r="Q97" s="31">
        <v>0.81344327020987328</v>
      </c>
      <c r="R97" s="32">
        <v>0.76073597619685174</v>
      </c>
    </row>
    <row r="98" spans="1:18" x14ac:dyDescent="0.25">
      <c r="A98" s="30">
        <v>428</v>
      </c>
      <c r="B98" s="31">
        <v>7.7676978296781041</v>
      </c>
      <c r="C98" s="31">
        <v>6.1196386613598763</v>
      </c>
      <c r="D98" s="31">
        <v>4.8053873094296007</v>
      </c>
      <c r="E98" s="31">
        <v>3.7746834506376472</v>
      </c>
      <c r="F98" s="31">
        <v>2.9813699332030379</v>
      </c>
      <c r="G98" s="31">
        <v>2.383392776813424</v>
      </c>
      <c r="H98" s="31">
        <v>1.942801172625098</v>
      </c>
      <c r="I98" s="31">
        <v>1.625747483262985</v>
      </c>
      <c r="J98" s="31">
        <v>1.4024872428206481</v>
      </c>
      <c r="K98" s="31">
        <v>1.247379156860273</v>
      </c>
      <c r="L98" s="31">
        <v>1.1388851024127029</v>
      </c>
      <c r="M98" s="31">
        <v>1.0595701279774159</v>
      </c>
      <c r="N98" s="31">
        <v>0.99610245352250548</v>
      </c>
      <c r="O98" s="31">
        <v>0.93925347048473162</v>
      </c>
      <c r="P98" s="31">
        <v>0.8838977417694488</v>
      </c>
      <c r="Q98" s="31">
        <v>0.82901300175070936</v>
      </c>
      <c r="R98" s="32">
        <v>0.77768015627110998</v>
      </c>
    </row>
    <row r="99" spans="1:18" x14ac:dyDescent="0.25">
      <c r="A99" s="30">
        <v>448</v>
      </c>
      <c r="B99" s="31">
        <v>8.0373801677987462</v>
      </c>
      <c r="C99" s="31">
        <v>6.3329956344574869</v>
      </c>
      <c r="D99" s="31">
        <v>4.970916670838526</v>
      </c>
      <c r="E99" s="31">
        <v>3.9002206118319211</v>
      </c>
      <c r="F99" s="31">
        <v>3.0740879637963729</v>
      </c>
      <c r="G99" s="31">
        <v>2.4498024045592208</v>
      </c>
      <c r="H99" s="31">
        <v>1.988750783416428</v>
      </c>
      <c r="I99" s="31">
        <v>1.656423121132619</v>
      </c>
      <c r="J99" s="31">
        <v>1.422412609941019</v>
      </c>
      <c r="K99" s="31">
        <v>1.2604156135435109</v>
      </c>
      <c r="L99" s="31">
        <v>1.1482316671106221</v>
      </c>
      <c r="M99" s="31">
        <v>1.067763477281501</v>
      </c>
      <c r="N99" s="31">
        <v>1.0050169221639329</v>
      </c>
      <c r="O99" s="31">
        <v>0.95010105133435085</v>
      </c>
      <c r="P99" s="31">
        <v>0.89722808583780667</v>
      </c>
      <c r="Q99" s="31">
        <v>0.84471341818800028</v>
      </c>
      <c r="R99" s="32">
        <v>0.79497561236724956</v>
      </c>
    </row>
    <row r="100" spans="1:18" x14ac:dyDescent="0.25">
      <c r="A100" s="30">
        <v>468</v>
      </c>
      <c r="B100" s="31">
        <v>8.3168235509547799</v>
      </c>
      <c r="C100" s="31">
        <v>6.5547223949332558</v>
      </c>
      <c r="D100" s="31">
        <v>5.1435314774438119</v>
      </c>
      <c r="E100" s="31">
        <v>4.0316657915161853</v>
      </c>
      <c r="F100" s="31">
        <v>3.1716435016487652</v>
      </c>
      <c r="G100" s="31">
        <v>2.520085943808565</v>
      </c>
      <c r="H100" s="31">
        <v>2.0377176254312399</v>
      </c>
      <c r="I100" s="31">
        <v>1.6893662254210791</v>
      </c>
      <c r="J100" s="31">
        <v>1.443962594151011</v>
      </c>
      <c r="K100" s="31">
        <v>1.2745407534625921</v>
      </c>
      <c r="L100" s="31">
        <v>1.1582378966660241</v>
      </c>
      <c r="M100" s="31">
        <v>1.0762943885401479</v>
      </c>
      <c r="N100" s="31">
        <v>1.0140537653324271</v>
      </c>
      <c r="O100" s="31">
        <v>0.96096273475898841</v>
      </c>
      <c r="P100" s="31">
        <v>0.91057117600453452</v>
      </c>
      <c r="Q100" s="31">
        <v>0.86053213972249387</v>
      </c>
      <c r="R100" s="32">
        <v>0.81260184803485203</v>
      </c>
    </row>
    <row r="101" spans="1:18" x14ac:dyDescent="0.25">
      <c r="A101" s="30">
        <v>488</v>
      </c>
      <c r="B101" s="31">
        <v>8.6061379652614782</v>
      </c>
      <c r="C101" s="31">
        <v>6.7849208122512632</v>
      </c>
      <c r="D101" s="31">
        <v>5.3233254820583387</v>
      </c>
      <c r="E101" s="31">
        <v>4.1691046258521238</v>
      </c>
      <c r="F101" s="31">
        <v>3.2741140662706898</v>
      </c>
      <c r="G101" s="31">
        <v>2.5943127974207392</v>
      </c>
      <c r="H101" s="31">
        <v>2.0897629848775989</v>
      </c>
      <c r="I101" s="31">
        <v>1.724629965685254</v>
      </c>
      <c r="J101" s="31">
        <v>1.467182248356304</v>
      </c>
      <c r="K101" s="31">
        <v>1.289791512871991</v>
      </c>
      <c r="L101" s="31">
        <v>1.1689326106821969</v>
      </c>
      <c r="M101" s="31">
        <v>1.0851835647054491</v>
      </c>
      <c r="N101" s="31">
        <v>1.023225569328903</v>
      </c>
      <c r="O101" s="31">
        <v>0.97184299040833766</v>
      </c>
      <c r="P101" s="31">
        <v>0.92392336526816632</v>
      </c>
      <c r="Q101" s="31">
        <v>0.87645740270148298</v>
      </c>
      <c r="R101" s="32">
        <v>0.83053898296996198</v>
      </c>
    </row>
    <row r="102" spans="1:18" x14ac:dyDescent="0.25">
      <c r="A102" s="30">
        <v>508</v>
      </c>
      <c r="B102" s="31">
        <v>8.9054340129807095</v>
      </c>
      <c r="C102" s="31">
        <v>7.0236933720221728</v>
      </c>
      <c r="D102" s="31">
        <v>5.5103930536415691</v>
      </c>
      <c r="E102" s="31">
        <v>4.3126233671480074</v>
      </c>
      <c r="F102" s="31">
        <v>3.3815777933192281</v>
      </c>
      <c r="G102" s="31">
        <v>2.6725529844016189</v>
      </c>
      <c r="H102" s="31">
        <v>2.144948764110195</v>
      </c>
      <c r="I102" s="31">
        <v>1.7622681276286241</v>
      </c>
      <c r="J102" s="31">
        <v>1.492117241609183</v>
      </c>
      <c r="K102" s="31">
        <v>1.3062054441727911</v>
      </c>
      <c r="L102" s="31">
        <v>1.180345244909035</v>
      </c>
      <c r="M102" s="31">
        <v>1.0944523248760969</v>
      </c>
      <c r="N102" s="31">
        <v>1.032545536600834</v>
      </c>
      <c r="O102" s="31">
        <v>0.98274690407869147</v>
      </c>
      <c r="P102" s="31">
        <v>0.93728162277378513</v>
      </c>
      <c r="Q102" s="31">
        <v>0.89247805961888094</v>
      </c>
      <c r="R102" s="32">
        <v>0.8487677530153197</v>
      </c>
    </row>
    <row r="103" spans="1:18" x14ac:dyDescent="0.25">
      <c r="A103" s="30">
        <v>528</v>
      </c>
      <c r="B103" s="31">
        <v>9.2148229125209262</v>
      </c>
      <c r="C103" s="31">
        <v>7.2711431760032452</v>
      </c>
      <c r="D103" s="31">
        <v>5.7048291772995734</v>
      </c>
      <c r="E103" s="31">
        <v>4.4623088838586904</v>
      </c>
      <c r="F103" s="31">
        <v>3.4941134345980358</v>
      </c>
      <c r="G103" s="31">
        <v>2.7548771399036731</v>
      </c>
      <c r="H103" s="31">
        <v>2.2033374816303031</v>
      </c>
      <c r="I103" s="31">
        <v>1.802335113101263</v>
      </c>
      <c r="J103" s="31">
        <v>1.518813859108525</v>
      </c>
      <c r="K103" s="31">
        <v>1.323820715912688</v>
      </c>
      <c r="L103" s="31">
        <v>1.192505851243022</v>
      </c>
      <c r="M103" s="31">
        <v>1.104122604297386</v>
      </c>
      <c r="N103" s="31">
        <v>1.042027485742316</v>
      </c>
      <c r="O103" s="31">
        <v>0.9936801777129568</v>
      </c>
      <c r="P103" s="31">
        <v>0.95064353381308564</v>
      </c>
      <c r="Q103" s="31">
        <v>0.90858357911516652</v>
      </c>
      <c r="R103" s="32">
        <v>0.86726951016023079</v>
      </c>
    </row>
    <row r="104" spans="1:18" x14ac:dyDescent="0.25">
      <c r="A104" s="30">
        <v>548</v>
      </c>
      <c r="B104" s="31">
        <v>9.5344164984371744</v>
      </c>
      <c r="C104" s="31">
        <v>7.5273739420983254</v>
      </c>
      <c r="D104" s="31">
        <v>5.9067294542849869</v>
      </c>
      <c r="E104" s="31">
        <v>4.6182486605856328</v>
      </c>
      <c r="F104" s="31">
        <v>3.6118003580573759</v>
      </c>
      <c r="G104" s="31">
        <v>2.8413565152259621</v>
      </c>
      <c r="H104" s="31">
        <v>2.2649922720857738</v>
      </c>
      <c r="I104" s="31">
        <v>1.844885940099833</v>
      </c>
      <c r="J104" s="31">
        <v>1.547319002199794</v>
      </c>
      <c r="K104" s="31">
        <v>1.342676112785939</v>
      </c>
      <c r="L104" s="31">
        <v>1.205445097727212</v>
      </c>
      <c r="M104" s="31">
        <v>1.1142169543611691</v>
      </c>
      <c r="N104" s="31">
        <v>1.051685851494023</v>
      </c>
      <c r="O104" s="31">
        <v>1.004649129400587</v>
      </c>
      <c r="P104" s="31">
        <v>0.96400729982434896</v>
      </c>
      <c r="Q104" s="31">
        <v>0.92476404597743667</v>
      </c>
      <c r="R104" s="32">
        <v>0.88602622254054353</v>
      </c>
    </row>
    <row r="105" spans="1:18" x14ac:dyDescent="0.25">
      <c r="A105" s="30">
        <v>568</v>
      </c>
      <c r="B105" s="31">
        <v>9.8643272214310809</v>
      </c>
      <c r="C105" s="31">
        <v>7.7924900043578429</v>
      </c>
      <c r="D105" s="31">
        <v>6.116190101997061</v>
      </c>
      <c r="E105" s="31">
        <v>4.780530798076871</v>
      </c>
      <c r="F105" s="31">
        <v>3.7347185477940852</v>
      </c>
      <c r="G105" s="31">
        <v>2.9320629778141249</v>
      </c>
      <c r="H105" s="31">
        <v>2.329976886271055</v>
      </c>
      <c r="I105" s="31">
        <v>1.8899762427675839</v>
      </c>
      <c r="J105" s="31">
        <v>1.577680188375048</v>
      </c>
      <c r="K105" s="31">
        <v>1.362811035633402</v>
      </c>
      <c r="L105" s="31">
        <v>1.2191942685512811</v>
      </c>
      <c r="M105" s="31">
        <v>1.124758542605925</v>
      </c>
      <c r="N105" s="31">
        <v>1.061535684743214</v>
      </c>
      <c r="O105" s="31">
        <v>1.0156606933776831</v>
      </c>
      <c r="P105" s="31">
        <v>0.97737173839244917</v>
      </c>
      <c r="Q105" s="31">
        <v>0.94101016113933844</v>
      </c>
      <c r="R105" s="32">
        <v>0.90502047443875711</v>
      </c>
    </row>
    <row r="106" spans="1:18" x14ac:dyDescent="0.25">
      <c r="A106" s="30">
        <v>588</v>
      </c>
      <c r="B106" s="31">
        <v>10.204668148350869</v>
      </c>
      <c r="C106" s="31">
        <v>8.0665963129788327</v>
      </c>
      <c r="D106" s="31">
        <v>6.3333079539816071</v>
      </c>
      <c r="E106" s="31">
        <v>4.9492440132270348</v>
      </c>
      <c r="F106" s="31">
        <v>3.8629486040515948</v>
      </c>
      <c r="G106" s="31">
        <v>3.027069011260398</v>
      </c>
      <c r="H106" s="31">
        <v>2.3983556911271871</v>
      </c>
      <c r="I106" s="31">
        <v>1.9376622713943541</v>
      </c>
      <c r="J106" s="31">
        <v>1.6099455512729171</v>
      </c>
      <c r="K106" s="31">
        <v>1.384265501442514</v>
      </c>
      <c r="L106" s="31">
        <v>1.2337852640514619</v>
      </c>
      <c r="M106" s="31">
        <v>1.1357711527166969</v>
      </c>
      <c r="N106" s="31">
        <v>1.0715926525237529</v>
      </c>
      <c r="O106" s="31">
        <v>1.0267224200268541</v>
      </c>
      <c r="P106" s="31">
        <v>0.99073628324883944</v>
      </c>
      <c r="Q106" s="31">
        <v>0.95731324168116305</v>
      </c>
      <c r="R106" s="32">
        <v>0.92423546628396025</v>
      </c>
    </row>
    <row r="107" spans="1:18" x14ac:dyDescent="0.25">
      <c r="A107" s="30">
        <v>608</v>
      </c>
      <c r="B107" s="31">
        <v>10.55555296219136</v>
      </c>
      <c r="C107" s="31">
        <v>8.3497984343048977</v>
      </c>
      <c r="D107" s="31">
        <v>6.5581804599310569</v>
      </c>
      <c r="E107" s="31">
        <v>5.1244776390773454</v>
      </c>
      <c r="F107" s="31">
        <v>3.9965717432199308</v>
      </c>
      <c r="G107" s="31">
        <v>3.126447715303601</v>
      </c>
      <c r="H107" s="31">
        <v>2.4701936697417932</v>
      </c>
      <c r="I107" s="31">
        <v>1.9880008924165731</v>
      </c>
      <c r="J107" s="31">
        <v>1.644163840678635</v>
      </c>
      <c r="K107" s="31">
        <v>1.407080143347315</v>
      </c>
      <c r="L107" s="31">
        <v>1.249250600710605</v>
      </c>
      <c r="M107" s="31">
        <v>1.147279184525104</v>
      </c>
      <c r="N107" s="31">
        <v>1.081873038016067</v>
      </c>
      <c r="O107" s="31">
        <v>1.037842475877373</v>
      </c>
      <c r="P107" s="31">
        <v>1.0041009842715269</v>
      </c>
      <c r="Q107" s="31">
        <v>0.97366522082973717</v>
      </c>
      <c r="R107" s="32">
        <v>0.94365501465173196</v>
      </c>
    </row>
    <row r="108" spans="1:18" x14ac:dyDescent="0.25">
      <c r="A108" s="30">
        <v>628</v>
      </c>
      <c r="B108" s="31">
        <v>10.91709596209393</v>
      </c>
      <c r="C108" s="31">
        <v>8.6422025508262443</v>
      </c>
      <c r="D108" s="31">
        <v>6.7909056856843959</v>
      </c>
      <c r="E108" s="31">
        <v>5.3063216248155989</v>
      </c>
      <c r="F108" s="31">
        <v>4.13566979783569</v>
      </c>
      <c r="G108" s="31">
        <v>3.230272805829149</v>
      </c>
      <c r="H108" s="31">
        <v>2.5455564213490809</v>
      </c>
      <c r="I108" s="31">
        <v>2.041049588417243</v>
      </c>
      <c r="J108" s="31">
        <v>1.6803844225240201</v>
      </c>
      <c r="K108" s="31">
        <v>1.4312962106284131</v>
      </c>
      <c r="L108" s="31">
        <v>1.2656234111581099</v>
      </c>
      <c r="M108" s="31">
        <v>1.159307654009391</v>
      </c>
      <c r="N108" s="31">
        <v>1.09239374054719</v>
      </c>
      <c r="O108" s="31">
        <v>1.049029643605053</v>
      </c>
      <c r="P108" s="31">
        <v>1.0174665074852101</v>
      </c>
      <c r="Q108" s="31">
        <v>0.99005864795849163</v>
      </c>
      <c r="R108" s="32">
        <v>0.96326355226435822</v>
      </c>
    </row>
    <row r="109" spans="1:18" x14ac:dyDescent="0.25">
      <c r="A109" s="30">
        <v>648</v>
      </c>
      <c r="B109" s="31">
        <v>11.2894120633466</v>
      </c>
      <c r="C109" s="31">
        <v>8.9439154611796692</v>
      </c>
      <c r="D109" s="31">
        <v>7.0315823132272461</v>
      </c>
      <c r="E109" s="31">
        <v>5.4948665357762154</v>
      </c>
      <c r="F109" s="31">
        <v>4.2803252165820993</v>
      </c>
      <c r="G109" s="31">
        <v>3.338618614869056</v>
      </c>
      <c r="H109" s="31">
        <v>2.6245101613298809</v>
      </c>
      <c r="I109" s="31">
        <v>2.0968664581260099</v>
      </c>
      <c r="J109" s="31">
        <v>1.718657278887501</v>
      </c>
      <c r="K109" s="31">
        <v>1.4569555687130591</v>
      </c>
      <c r="L109" s="31">
        <v>1.282937444170035</v>
      </c>
      <c r="M109" s="31">
        <v>1.1718821932943859</v>
      </c>
      <c r="N109" s="31">
        <v>1.1031722755907509</v>
      </c>
      <c r="O109" s="31">
        <v>1.06029332203236</v>
      </c>
      <c r="P109" s="31">
        <v>1.030834135061081</v>
      </c>
      <c r="Q109" s="31">
        <v>1.006486688587479</v>
      </c>
      <c r="R109" s="32">
        <v>0.98304612799067215</v>
      </c>
    </row>
    <row r="110" spans="1:18" x14ac:dyDescent="0.25">
      <c r="A110" s="30">
        <v>668</v>
      </c>
      <c r="B110" s="31">
        <v>11.67261679738392</v>
      </c>
      <c r="C110" s="31">
        <v>9.2550445801485441</v>
      </c>
      <c r="D110" s="31">
        <v>7.2803096406917689</v>
      </c>
      <c r="E110" s="31">
        <v>5.6902035534401554</v>
      </c>
      <c r="F110" s="31">
        <v>4.4306210642889159</v>
      </c>
      <c r="G110" s="31">
        <v>3.4515600906018928</v>
      </c>
      <c r="H110" s="31">
        <v>2.707121721211557</v>
      </c>
      <c r="I110" s="31">
        <v>2.1555102164190312</v>
      </c>
      <c r="J110" s="31">
        <v>1.7590330079940519</v>
      </c>
      <c r="K110" s="31">
        <v>1.484100699175011</v>
      </c>
      <c r="L110" s="31">
        <v>1.301227064668937</v>
      </c>
      <c r="M110" s="31">
        <v>1.1850290506514789</v>
      </c>
      <c r="N110" s="31">
        <v>1.114226774766939</v>
      </c>
      <c r="O110" s="31">
        <v>1.0716435261282471</v>
      </c>
      <c r="P110" s="31">
        <v>1.0442057653169601</v>
      </c>
      <c r="Q110" s="31">
        <v>1.022943124383296</v>
      </c>
      <c r="R110" s="32">
        <v>1.002988406846079</v>
      </c>
    </row>
    <row r="111" spans="1:18" x14ac:dyDescent="0.25">
      <c r="A111" s="30">
        <v>688</v>
      </c>
      <c r="B111" s="31">
        <v>12.06682631178708</v>
      </c>
      <c r="C111" s="31">
        <v>9.5756979386628505</v>
      </c>
      <c r="D111" s="31">
        <v>7.5371875823567436</v>
      </c>
      <c r="E111" s="31">
        <v>5.8924244754350159</v>
      </c>
      <c r="F111" s="31">
        <v>4.5866410219325422</v>
      </c>
      <c r="G111" s="31">
        <v>3.5691727973528509</v>
      </c>
      <c r="H111" s="31">
        <v>2.7934585486681081</v>
      </c>
      <c r="I111" s="31">
        <v>2.2170401943191091</v>
      </c>
      <c r="J111" s="31">
        <v>1.801562824215283</v>
      </c>
      <c r="K111" s="31">
        <v>1.512774699734682</v>
      </c>
      <c r="L111" s="31">
        <v>1.3205272537240389</v>
      </c>
      <c r="M111" s="31">
        <v>1.198775090498666</v>
      </c>
      <c r="N111" s="31">
        <v>1.1255759858425749</v>
      </c>
      <c r="O111" s="31">
        <v>1.083090887008346</v>
      </c>
      <c r="P111" s="31">
        <v>1.0575839127172311</v>
      </c>
      <c r="Q111" s="31">
        <v>1.03942235315916</v>
      </c>
      <c r="R111" s="32">
        <v>1.02307666999258</v>
      </c>
    </row>
    <row r="112" spans="1:18" x14ac:dyDescent="0.25">
      <c r="A112" s="30">
        <v>708</v>
      </c>
      <c r="B112" s="31">
        <v>12.47215737028383</v>
      </c>
      <c r="C112" s="31">
        <v>9.9059841837991538</v>
      </c>
      <c r="D112" s="31">
        <v>7.802316668647542</v>
      </c>
      <c r="E112" s="31">
        <v>6.1016217155349484</v>
      </c>
      <c r="F112" s="31">
        <v>4.7484693866359331</v>
      </c>
      <c r="G112" s="31">
        <v>3.691532915593708</v>
      </c>
      <c r="H112" s="31">
        <v>2.8835887075201132</v>
      </c>
      <c r="I112" s="31">
        <v>2.281516338995619</v>
      </c>
      <c r="J112" s="31">
        <v>1.8462985580693481</v>
      </c>
      <c r="K112" s="31">
        <v>1.5430212842590489</v>
      </c>
      <c r="L112" s="31">
        <v>1.340873608551103</v>
      </c>
      <c r="M112" s="31">
        <v>1.213147793400545</v>
      </c>
      <c r="N112" s="31">
        <v>1.1372392727310321</v>
      </c>
      <c r="O112" s="31">
        <v>1.094646651934845</v>
      </c>
      <c r="P112" s="31">
        <v>1.0709717078729291</v>
      </c>
      <c r="Q112" s="31">
        <v>1.0559193888748479</v>
      </c>
      <c r="R112" s="32">
        <v>1.0432978147388039</v>
      </c>
    </row>
    <row r="113" spans="1:18" x14ac:dyDescent="0.25">
      <c r="A113" s="30">
        <v>728</v>
      </c>
      <c r="B113" s="31">
        <v>12.888727352748511</v>
      </c>
      <c r="C113" s="31">
        <v>10.24601257878057</v>
      </c>
      <c r="D113" s="31">
        <v>8.0757980461361054</v>
      </c>
      <c r="E113" s="31">
        <v>6.3178883036607107</v>
      </c>
      <c r="F113" s="31">
        <v>4.9161910716686492</v>
      </c>
      <c r="G113" s="31">
        <v>3.8187172419428088</v>
      </c>
      <c r="H113" s="31">
        <v>2.977580877734713</v>
      </c>
      <c r="I113" s="31">
        <v>2.3489992137645208</v>
      </c>
      <c r="J113" s="31">
        <v>1.893292656221035</v>
      </c>
      <c r="K113" s="31">
        <v>1.574884782761675</v>
      </c>
      <c r="L113" s="31">
        <v>1.362302342512522</v>
      </c>
      <c r="M113" s="31">
        <v>1.228175256068273</v>
      </c>
      <c r="N113" s="31">
        <v>1.1492366154922831</v>
      </c>
      <c r="O113" s="31">
        <v>1.1063226843165159</v>
      </c>
      <c r="P113" s="31">
        <v>1.0843728975415881</v>
      </c>
      <c r="Q113" s="31">
        <v>1.0724298616367629</v>
      </c>
      <c r="R113" s="32">
        <v>1.063639354539909</v>
      </c>
    </row>
    <row r="114" spans="1:18" x14ac:dyDescent="0.25">
      <c r="A114" s="30">
        <v>748</v>
      </c>
      <c r="B114" s="31">
        <v>13.316654255202071</v>
      </c>
      <c r="C114" s="31">
        <v>10.595893002976879</v>
      </c>
      <c r="D114" s="31">
        <v>8.3577334775409806</v>
      </c>
      <c r="E114" s="31">
        <v>6.541317885879649</v>
      </c>
      <c r="F114" s="31">
        <v>5.0898916064468382</v>
      </c>
      <c r="G114" s="31">
        <v>3.950803189165113</v>
      </c>
      <c r="H114" s="31">
        <v>3.0755043554256791</v>
      </c>
      <c r="I114" s="31">
        <v>2.419549998088379</v>
      </c>
      <c r="J114" s="31">
        <v>1.9425981814816919</v>
      </c>
      <c r="K114" s="31">
        <v>1.6084101414027241</v>
      </c>
      <c r="L114" s="31">
        <v>1.3848502851172451</v>
      </c>
      <c r="M114" s="31">
        <v>1.24388619135963</v>
      </c>
      <c r="N114" s="31">
        <v>1.1615886103329081</v>
      </c>
      <c r="O114" s="31">
        <v>1.1181314637087341</v>
      </c>
      <c r="P114" s="31">
        <v>1.097791844627402</v>
      </c>
      <c r="Q114" s="31">
        <v>1.088950017697861</v>
      </c>
      <c r="R114" s="32">
        <v>1.084089418997668</v>
      </c>
    </row>
    <row r="115" spans="1:18" x14ac:dyDescent="0.25">
      <c r="A115" s="33">
        <v>768</v>
      </c>
      <c r="B115" s="34">
        <v>13.75605668981202</v>
      </c>
      <c r="C115" s="34">
        <v>10.955735951904391</v>
      </c>
      <c r="D115" s="34">
        <v>8.648225341727283</v>
      </c>
      <c r="E115" s="34">
        <v>6.7720047244056953</v>
      </c>
      <c r="F115" s="34">
        <v>5.2696571365332314</v>
      </c>
      <c r="G115" s="34">
        <v>4.087868786172149</v>
      </c>
      <c r="H115" s="34">
        <v>3.1774290528533369</v>
      </c>
      <c r="I115" s="34">
        <v>2.4932304875763198</v>
      </c>
      <c r="J115" s="34">
        <v>1.994268812809264</v>
      </c>
      <c r="K115" s="34">
        <v>1.6436429224889479</v>
      </c>
      <c r="L115" s="34">
        <v>1.408554882020828</v>
      </c>
      <c r="M115" s="34">
        <v>1.260309928278956</v>
      </c>
      <c r="N115" s="34">
        <v>1.174316469606058</v>
      </c>
      <c r="O115" s="34">
        <v>1.13008608581346</v>
      </c>
      <c r="P115" s="34">
        <v>1.111233528181135</v>
      </c>
      <c r="Q115" s="34">
        <v>1.10547671945773</v>
      </c>
      <c r="R115" s="35">
        <v>1.104636753860476</v>
      </c>
    </row>
    <row r="118" spans="1:18" ht="28.9" customHeight="1" x14ac:dyDescent="0.5">
      <c r="A118" s="1" t="s">
        <v>30</v>
      </c>
    </row>
    <row r="119" spans="1:18" ht="32.1" customHeight="1" x14ac:dyDescent="0.25"/>
    <row r="120" spans="1:18" x14ac:dyDescent="0.25">
      <c r="A120" s="2"/>
      <c r="B120" s="3"/>
      <c r="C120" s="3"/>
      <c r="D120" s="4"/>
    </row>
    <row r="121" spans="1:18" x14ac:dyDescent="0.25">
      <c r="A121" s="5" t="s">
        <v>31</v>
      </c>
      <c r="B121" s="6">
        <v>4</v>
      </c>
      <c r="C121" s="6" t="s">
        <v>11</v>
      </c>
      <c r="D121" s="7"/>
    </row>
    <row r="122" spans="1:18" x14ac:dyDescent="0.25">
      <c r="A122" s="8"/>
      <c r="B122" s="9"/>
      <c r="C122" s="9"/>
      <c r="D122" s="10"/>
    </row>
    <row r="125" spans="1:18" ht="48" customHeight="1" x14ac:dyDescent="0.25">
      <c r="A125" s="21" t="s">
        <v>32</v>
      </c>
      <c r="B125" s="23" t="s">
        <v>33</v>
      </c>
    </row>
    <row r="126" spans="1:18" x14ac:dyDescent="0.25">
      <c r="A126" s="5">
        <v>0</v>
      </c>
      <c r="B126" s="32">
        <v>0</v>
      </c>
    </row>
    <row r="127" spans="1:18" x14ac:dyDescent="0.25">
      <c r="A127" s="5">
        <v>0.125</v>
      </c>
      <c r="B127" s="32">
        <v>-9.4142827238551108E-2</v>
      </c>
    </row>
    <row r="128" spans="1:18" x14ac:dyDescent="0.25">
      <c r="A128" s="5">
        <v>0.25</v>
      </c>
      <c r="B128" s="32">
        <v>-0.1791095097402598</v>
      </c>
    </row>
    <row r="129" spans="1:2" x14ac:dyDescent="0.25">
      <c r="A129" s="5">
        <v>0.375</v>
      </c>
      <c r="B129" s="32">
        <v>-0.1890589400684933</v>
      </c>
    </row>
    <row r="130" spans="1:2" x14ac:dyDescent="0.25">
      <c r="A130" s="5">
        <v>0.5</v>
      </c>
      <c r="B130" s="32">
        <v>-0.2091373239436618</v>
      </c>
    </row>
    <row r="131" spans="1:2" x14ac:dyDescent="0.25">
      <c r="A131" s="5">
        <v>0.625</v>
      </c>
      <c r="B131" s="32">
        <v>0.33489571108020127</v>
      </c>
    </row>
    <row r="132" spans="1:2" x14ac:dyDescent="0.25">
      <c r="A132" s="5">
        <v>0.75</v>
      </c>
      <c r="B132" s="32">
        <v>0.5096658232473894</v>
      </c>
    </row>
    <row r="133" spans="1:2" x14ac:dyDescent="0.25">
      <c r="A133" s="5">
        <v>0.875</v>
      </c>
      <c r="B133" s="32">
        <v>0.53473921300516558</v>
      </c>
    </row>
    <row r="134" spans="1:2" x14ac:dyDescent="0.25">
      <c r="A134" s="5">
        <v>1</v>
      </c>
      <c r="B134" s="32">
        <v>0.40999027651169828</v>
      </c>
    </row>
    <row r="135" spans="1:2" x14ac:dyDescent="0.25">
      <c r="A135" s="5">
        <v>1.125</v>
      </c>
      <c r="B135" s="32">
        <v>0.76556050263729436</v>
      </c>
    </row>
    <row r="136" spans="1:2" x14ac:dyDescent="0.25">
      <c r="A136" s="5">
        <v>1.25</v>
      </c>
      <c r="B136" s="32">
        <v>0.6472258765125658</v>
      </c>
    </row>
    <row r="137" spans="1:2" x14ac:dyDescent="0.25">
      <c r="A137" s="5">
        <v>1.375</v>
      </c>
      <c r="B137" s="32">
        <v>0.52889125038783724</v>
      </c>
    </row>
    <row r="138" spans="1:2" x14ac:dyDescent="0.25">
      <c r="A138" s="5">
        <v>1.5</v>
      </c>
      <c r="B138" s="32">
        <v>0.4204735883424402</v>
      </c>
    </row>
    <row r="139" spans="1:2" x14ac:dyDescent="0.25">
      <c r="A139" s="5">
        <v>1.625</v>
      </c>
      <c r="B139" s="32">
        <v>0.42089101396478401</v>
      </c>
    </row>
    <row r="140" spans="1:2" x14ac:dyDescent="0.25">
      <c r="A140" s="5">
        <v>1.75</v>
      </c>
      <c r="B140" s="32">
        <v>0.42130843958712771</v>
      </c>
    </row>
    <row r="141" spans="1:2" x14ac:dyDescent="0.25">
      <c r="A141" s="5">
        <v>1.875</v>
      </c>
      <c r="B141" s="32">
        <v>0.42172586520947142</v>
      </c>
    </row>
    <row r="142" spans="1:2" x14ac:dyDescent="0.25">
      <c r="A142" s="5">
        <v>2</v>
      </c>
      <c r="B142" s="32">
        <v>0.42214329083181501</v>
      </c>
    </row>
    <row r="143" spans="1:2" x14ac:dyDescent="0.25">
      <c r="A143" s="5">
        <v>2.125</v>
      </c>
      <c r="B143" s="32">
        <v>0.42256071645415871</v>
      </c>
    </row>
    <row r="144" spans="1:2" x14ac:dyDescent="0.25">
      <c r="A144" s="5">
        <v>2.25</v>
      </c>
      <c r="B144" s="32">
        <v>0.42297814207650219</v>
      </c>
    </row>
    <row r="145" spans="1:2" x14ac:dyDescent="0.25">
      <c r="A145" s="5">
        <v>2.375</v>
      </c>
      <c r="B145" s="32">
        <v>0.42339556769884601</v>
      </c>
    </row>
    <row r="146" spans="1:2" x14ac:dyDescent="0.25">
      <c r="A146" s="5">
        <v>2.5</v>
      </c>
      <c r="B146" s="32">
        <v>0.42368009621166508</v>
      </c>
    </row>
    <row r="147" spans="1:2" x14ac:dyDescent="0.25">
      <c r="A147" s="5">
        <v>2.625</v>
      </c>
      <c r="B147" s="32">
        <v>0.42289085989176117</v>
      </c>
    </row>
    <row r="148" spans="1:2" x14ac:dyDescent="0.25">
      <c r="A148" s="5">
        <v>2.75</v>
      </c>
      <c r="B148" s="32">
        <v>0.42210162357185782</v>
      </c>
    </row>
    <row r="149" spans="1:2" x14ac:dyDescent="0.25">
      <c r="A149" s="5">
        <v>2.875</v>
      </c>
      <c r="B149" s="32">
        <v>0.42131238725195358</v>
      </c>
    </row>
    <row r="150" spans="1:2" x14ac:dyDescent="0.25">
      <c r="A150" s="5">
        <v>3</v>
      </c>
      <c r="B150" s="32">
        <v>0.42052315093204989</v>
      </c>
    </row>
    <row r="151" spans="1:2" x14ac:dyDescent="0.25">
      <c r="A151" s="5">
        <v>3.125</v>
      </c>
      <c r="B151" s="32">
        <v>0.41973391461214582</v>
      </c>
    </row>
    <row r="152" spans="1:2" x14ac:dyDescent="0.25">
      <c r="A152" s="5">
        <v>3.25</v>
      </c>
      <c r="B152" s="32">
        <v>0.41894467829224169</v>
      </c>
    </row>
    <row r="153" spans="1:2" x14ac:dyDescent="0.25">
      <c r="A153" s="5">
        <v>3.375</v>
      </c>
      <c r="B153" s="32">
        <v>0.41815544197233823</v>
      </c>
    </row>
    <row r="154" spans="1:2" x14ac:dyDescent="0.25">
      <c r="A154" s="5">
        <v>3.5</v>
      </c>
      <c r="B154" s="32">
        <v>0.41734632683658091</v>
      </c>
    </row>
    <row r="155" spans="1:2" x14ac:dyDescent="0.25">
      <c r="A155" s="5">
        <v>3.625</v>
      </c>
      <c r="B155" s="32">
        <v>0.41622188905547131</v>
      </c>
    </row>
    <row r="156" spans="1:2" x14ac:dyDescent="0.25">
      <c r="A156" s="5">
        <v>3.75</v>
      </c>
      <c r="B156" s="32">
        <v>0.41509745127436221</v>
      </c>
    </row>
    <row r="157" spans="1:2" x14ac:dyDescent="0.25">
      <c r="A157" s="5">
        <v>3.875</v>
      </c>
      <c r="B157" s="32">
        <v>0.41397301349325227</v>
      </c>
    </row>
    <row r="158" spans="1:2" x14ac:dyDescent="0.25">
      <c r="A158" s="8">
        <v>4</v>
      </c>
      <c r="B158" s="35">
        <v>0.41284857571214301</v>
      </c>
    </row>
  </sheetData>
  <sheetProtection algorithmName="SHA-512" hashValue="xAFCNLRaDkPTQneQZus/Cd/ZSpwIlPcOkil1XoXkDhepEGI5NSb0x2T4SxEOjg6vvuQLifZqBfaj2JEVgWOyDg==" saltValue="o0VafKogaUPHrP6+vhQ/Z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5:AH126"/>
  <sheetViews>
    <sheetView tabSelected="1" workbookViewId="0">
      <selection activeCell="B36" sqref="B36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41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1</v>
      </c>
      <c r="B17" s="6" t="s">
        <v>43</v>
      </c>
      <c r="C17" s="6"/>
      <c r="D17" s="7"/>
    </row>
    <row r="18" spans="1:4" x14ac:dyDescent="0.25">
      <c r="A18" s="5" t="s">
        <v>2</v>
      </c>
      <c r="B18" s="6" t="s">
        <v>3</v>
      </c>
      <c r="C18" s="6"/>
      <c r="D18" s="7"/>
    </row>
    <row r="19" spans="1:4" x14ac:dyDescent="0.25">
      <c r="A19" s="5" t="s">
        <v>4</v>
      </c>
      <c r="B19" s="6" t="s">
        <v>5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6</v>
      </c>
      <c r="B23" s="13">
        <v>300</v>
      </c>
      <c r="C23" s="13" t="s">
        <v>7</v>
      </c>
      <c r="D23" s="14"/>
    </row>
    <row r="24" spans="1:4" x14ac:dyDescent="0.25">
      <c r="A24" s="5" t="s">
        <v>8</v>
      </c>
      <c r="B24" s="13">
        <v>14</v>
      </c>
      <c r="C24" s="13" t="s">
        <v>9</v>
      </c>
      <c r="D24" s="14"/>
    </row>
    <row r="25" spans="1:4" x14ac:dyDescent="0.25">
      <c r="A25" s="8"/>
      <c r="B25" s="15"/>
      <c r="C25" s="15"/>
      <c r="D25" s="16"/>
    </row>
    <row r="29" spans="1:4" x14ac:dyDescent="0.25">
      <c r="A29" s="2"/>
      <c r="B29" s="3"/>
      <c r="C29" s="3"/>
      <c r="D29" s="4"/>
    </row>
    <row r="30" spans="1:4" x14ac:dyDescent="0.25">
      <c r="A30" s="5" t="s">
        <v>10</v>
      </c>
      <c r="B30" s="6">
        <v>0.12999999999999989</v>
      </c>
      <c r="C30" s="6" t="s">
        <v>11</v>
      </c>
      <c r="D30" s="7"/>
    </row>
    <row r="31" spans="1:4" x14ac:dyDescent="0.25">
      <c r="A31" s="8"/>
      <c r="B31" s="9"/>
      <c r="C31" s="9"/>
      <c r="D31" s="10"/>
    </row>
    <row r="34" spans="1:5" ht="28.9" customHeight="1" x14ac:dyDescent="0.5">
      <c r="A34" s="1" t="s">
        <v>12</v>
      </c>
    </row>
    <row r="36" spans="1:5" x14ac:dyDescent="0.25">
      <c r="A36" s="17" t="s">
        <v>13</v>
      </c>
      <c r="B36" s="17">
        <v>100</v>
      </c>
      <c r="C36" s="17" t="s">
        <v>14</v>
      </c>
      <c r="D36" s="17" t="s">
        <v>15</v>
      </c>
      <c r="E36" s="17"/>
    </row>
    <row r="37" spans="1:5" hidden="1" x14ac:dyDescent="0.25">
      <c r="A37" s="17" t="s">
        <v>16</v>
      </c>
      <c r="B37" s="17">
        <v>14.7</v>
      </c>
      <c r="C37" s="17"/>
      <c r="D37" s="17" t="s">
        <v>15</v>
      </c>
      <c r="E37" s="17"/>
    </row>
    <row r="38" spans="1:5" hidden="1" x14ac:dyDescent="0.25">
      <c r="A38" s="17" t="s">
        <v>17</v>
      </c>
      <c r="B38" s="17">
        <v>9.0079999999999991</v>
      </c>
      <c r="C38" s="17"/>
      <c r="D38" s="17" t="s">
        <v>15</v>
      </c>
      <c r="E38" s="17"/>
    </row>
    <row r="40" spans="1:5" ht="48" customHeight="1" x14ac:dyDescent="0.25">
      <c r="A40" s="18" t="s">
        <v>18</v>
      </c>
      <c r="B40" s="19" t="s">
        <v>19</v>
      </c>
      <c r="C40" s="19" t="s">
        <v>20</v>
      </c>
      <c r="D40" s="19" t="s">
        <v>21</v>
      </c>
      <c r="E40" s="20" t="s">
        <v>22</v>
      </c>
    </row>
    <row r="41" spans="1:5" x14ac:dyDescent="0.25">
      <c r="A41" s="5">
        <v>-80</v>
      </c>
      <c r="B41" s="6">
        <v>98.880050794546619</v>
      </c>
      <c r="C41" s="6">
        <f>98.8800507945466 * $B$36 / 100</f>
        <v>98.880050794546605</v>
      </c>
      <c r="D41" s="6">
        <v>12.458666666666661</v>
      </c>
      <c r="E41" s="7">
        <f>12.4586666666666 * $B$36 / 100</f>
        <v>12.4586666666666</v>
      </c>
    </row>
    <row r="42" spans="1:5" x14ac:dyDescent="0.25">
      <c r="A42" s="5">
        <v>-70</v>
      </c>
      <c r="B42" s="6">
        <v>100.44919222561241</v>
      </c>
      <c r="C42" s="6">
        <f>100.449192225612 * $B$36 / 100</f>
        <v>100.44919222561198</v>
      </c>
      <c r="D42" s="6">
        <v>12.656375000000001</v>
      </c>
      <c r="E42" s="7">
        <f>12.6563749999999 * $B$36 / 100</f>
        <v>12.656374999999901</v>
      </c>
    </row>
    <row r="43" spans="1:5" x14ac:dyDescent="0.25">
      <c r="A43" s="5">
        <v>-60</v>
      </c>
      <c r="B43" s="6">
        <v>102.01833365667819</v>
      </c>
      <c r="C43" s="6">
        <f>102.018333656678 * $B$36 / 100</f>
        <v>102.01833365667798</v>
      </c>
      <c r="D43" s="6">
        <v>12.85408333333333</v>
      </c>
      <c r="E43" s="7">
        <f>12.8540833333333 * $B$36 / 100</f>
        <v>12.8540833333333</v>
      </c>
    </row>
    <row r="44" spans="1:5" x14ac:dyDescent="0.25">
      <c r="A44" s="5">
        <v>-50</v>
      </c>
      <c r="B44" s="6">
        <v>103.587475087744</v>
      </c>
      <c r="C44" s="6">
        <f>103.587475087744 * $B$36 / 100</f>
        <v>103.58747508774398</v>
      </c>
      <c r="D44" s="6">
        <v>13.051791666666659</v>
      </c>
      <c r="E44" s="7">
        <f>13.0517916666666 * $B$36 / 100</f>
        <v>13.051791666666599</v>
      </c>
    </row>
    <row r="45" spans="1:5" x14ac:dyDescent="0.25">
      <c r="A45" s="5">
        <v>-40</v>
      </c>
      <c r="B45" s="6">
        <v>105.1566165188098</v>
      </c>
      <c r="C45" s="6">
        <f>105.156616518809 * $B$36 / 100</f>
        <v>105.156616518809</v>
      </c>
      <c r="D45" s="6">
        <v>13.249499999999999</v>
      </c>
      <c r="E45" s="7">
        <f>13.2494999999999 * $B$36 / 100</f>
        <v>13.2494999999999</v>
      </c>
    </row>
    <row r="46" spans="1:5" x14ac:dyDescent="0.25">
      <c r="A46" s="5">
        <v>-30</v>
      </c>
      <c r="B46" s="6">
        <v>106.7257579498756</v>
      </c>
      <c r="C46" s="6">
        <f>106.725757949875 * $B$36 / 100</f>
        <v>106.725757949875</v>
      </c>
      <c r="D46" s="6">
        <v>13.447208333333331</v>
      </c>
      <c r="E46" s="7">
        <f>13.4472083333333 * $B$36 / 100</f>
        <v>13.4472083333333</v>
      </c>
    </row>
    <row r="47" spans="1:5" x14ac:dyDescent="0.25">
      <c r="A47" s="5">
        <v>-20</v>
      </c>
      <c r="B47" s="6">
        <v>108.2948993809415</v>
      </c>
      <c r="C47" s="6">
        <f>108.294899380941 * $B$36 / 100</f>
        <v>108.294899380941</v>
      </c>
      <c r="D47" s="6">
        <v>13.644916666666671</v>
      </c>
      <c r="E47" s="7">
        <f>13.6449166666666 * $B$36 / 100</f>
        <v>13.6449166666666</v>
      </c>
    </row>
    <row r="48" spans="1:5" x14ac:dyDescent="0.25">
      <c r="A48" s="5">
        <v>-10</v>
      </c>
      <c r="B48" s="6">
        <v>109.8640408120073</v>
      </c>
      <c r="C48" s="6">
        <f>109.864040812007 * $B$36 / 100</f>
        <v>109.864040812007</v>
      </c>
      <c r="D48" s="6">
        <v>13.842625</v>
      </c>
      <c r="E48" s="7">
        <f>13.842625 * $B$36 / 100</f>
        <v>13.842625</v>
      </c>
    </row>
    <row r="49" spans="1:18" x14ac:dyDescent="0.25">
      <c r="A49" s="5">
        <v>0</v>
      </c>
      <c r="B49" s="6">
        <v>111.43318224307311</v>
      </c>
      <c r="C49" s="6">
        <f>111.433182243073 * $B$36 / 100</f>
        <v>111.43318224307301</v>
      </c>
      <c r="D49" s="6">
        <v>14.040333333333329</v>
      </c>
      <c r="E49" s="7">
        <f>14.0403333333333 * $B$36 / 100</f>
        <v>14.040333333333299</v>
      </c>
    </row>
    <row r="50" spans="1:18" x14ac:dyDescent="0.25">
      <c r="A50" s="5">
        <v>10</v>
      </c>
      <c r="B50" s="6">
        <v>112.7580204236406</v>
      </c>
      <c r="C50" s="6">
        <f>112.75802042364 * $B$36 / 100</f>
        <v>112.75802042364</v>
      </c>
      <c r="D50" s="6">
        <v>14.20726</v>
      </c>
      <c r="E50" s="7">
        <f>14.2072599999999 * $B$36 / 100</f>
        <v>14.2072599999999</v>
      </c>
    </row>
    <row r="51" spans="1:18" x14ac:dyDescent="0.25">
      <c r="A51" s="5">
        <v>20</v>
      </c>
      <c r="B51" s="6">
        <v>114.0828586042082</v>
      </c>
      <c r="C51" s="6">
        <f>114.082858604208 * $B$36 / 100</f>
        <v>114.082858604208</v>
      </c>
      <c r="D51" s="6">
        <v>14.37418666666667</v>
      </c>
      <c r="E51" s="7">
        <f>14.3741866666666 * $B$36 / 100</f>
        <v>14.374186666666599</v>
      </c>
    </row>
    <row r="52" spans="1:18" x14ac:dyDescent="0.25">
      <c r="A52" s="5">
        <v>30</v>
      </c>
      <c r="B52" s="6">
        <v>115.40769678477569</v>
      </c>
      <c r="C52" s="6">
        <f>115.407696784775 * $B$36 / 100</f>
        <v>115.407696784775</v>
      </c>
      <c r="D52" s="6">
        <v>14.54111333333333</v>
      </c>
      <c r="E52" s="7">
        <f>14.5411133333333 * $B$36 / 100</f>
        <v>14.541113333333302</v>
      </c>
    </row>
    <row r="53" spans="1:18" x14ac:dyDescent="0.25">
      <c r="A53" s="5">
        <v>40</v>
      </c>
      <c r="B53" s="6">
        <v>116.73253496534331</v>
      </c>
      <c r="C53" s="6">
        <f>116.732534965343 * $B$36 / 100</f>
        <v>116.73253496534301</v>
      </c>
      <c r="D53" s="6">
        <v>14.70804</v>
      </c>
      <c r="E53" s="7">
        <f>14.7080399999999 * $B$36 / 100</f>
        <v>14.708039999999899</v>
      </c>
    </row>
    <row r="54" spans="1:18" x14ac:dyDescent="0.25">
      <c r="A54" s="5">
        <v>50</v>
      </c>
      <c r="B54" s="6">
        <v>118.0573731459109</v>
      </c>
      <c r="C54" s="6">
        <f>118.05737314591 * $B$36 / 100</f>
        <v>118.05737314591001</v>
      </c>
      <c r="D54" s="6">
        <v>14.874966666666669</v>
      </c>
      <c r="E54" s="7">
        <f>14.8749666666666 * $B$36 / 100</f>
        <v>14.874966666666602</v>
      </c>
    </row>
    <row r="55" spans="1:18" x14ac:dyDescent="0.25">
      <c r="A55" s="5">
        <v>60</v>
      </c>
      <c r="B55" s="6">
        <v>119.3822113264784</v>
      </c>
      <c r="C55" s="6">
        <f>119.382211326478 * $B$36 / 100</f>
        <v>119.38221132647799</v>
      </c>
      <c r="D55" s="6">
        <v>15.041893333333331</v>
      </c>
      <c r="E55" s="7">
        <f>15.0418933333333 * $B$36 / 100</f>
        <v>15.0418933333333</v>
      </c>
    </row>
    <row r="56" spans="1:18" x14ac:dyDescent="0.25">
      <c r="A56" s="5">
        <v>70</v>
      </c>
      <c r="B56" s="6">
        <v>120.70704950704599</v>
      </c>
      <c r="C56" s="6">
        <f>120.707049507045 * $B$36 / 100</f>
        <v>120.707049507045</v>
      </c>
      <c r="D56" s="6">
        <v>15.208819999999999</v>
      </c>
      <c r="E56" s="7">
        <f>15.20882 * $B$36 / 100</f>
        <v>15.208819999999998</v>
      </c>
    </row>
    <row r="57" spans="1:18" x14ac:dyDescent="0.25">
      <c r="A57" s="8">
        <v>80</v>
      </c>
      <c r="B57" s="9">
        <v>122.03188768761351</v>
      </c>
      <c r="C57" s="9">
        <f>122.031887687613 * $B$36 / 100</f>
        <v>122.03188768761299</v>
      </c>
      <c r="D57" s="9">
        <v>15.375746666666659</v>
      </c>
      <c r="E57" s="10">
        <f>15.3757466666666 * $B$36 / 100</f>
        <v>15.375746666666601</v>
      </c>
    </row>
    <row r="59" spans="1:18" ht="28.9" customHeight="1" x14ac:dyDescent="0.5">
      <c r="A59" s="1" t="s">
        <v>23</v>
      </c>
      <c r="B59" s="1"/>
    </row>
    <row r="60" spans="1:18" x14ac:dyDescent="0.25">
      <c r="A60" s="21" t="s">
        <v>24</v>
      </c>
      <c r="B60" s="22">
        <v>0</v>
      </c>
      <c r="C60" s="22">
        <v>6.25</v>
      </c>
      <c r="D60" s="22">
        <v>12.5</v>
      </c>
      <c r="E60" s="22">
        <v>18.75</v>
      </c>
      <c r="F60" s="22">
        <v>25</v>
      </c>
      <c r="G60" s="22">
        <v>31.25</v>
      </c>
      <c r="H60" s="22">
        <v>37.5</v>
      </c>
      <c r="I60" s="22">
        <v>43.75</v>
      </c>
      <c r="J60" s="22">
        <v>50</v>
      </c>
      <c r="K60" s="22">
        <v>56.25</v>
      </c>
      <c r="L60" s="22">
        <v>62.5</v>
      </c>
      <c r="M60" s="22">
        <v>68.75</v>
      </c>
      <c r="N60" s="22">
        <v>75</v>
      </c>
      <c r="O60" s="22">
        <v>81.25</v>
      </c>
      <c r="P60" s="22">
        <v>87.5</v>
      </c>
      <c r="Q60" s="22">
        <v>93.75</v>
      </c>
      <c r="R60" s="23">
        <v>100</v>
      </c>
    </row>
    <row r="61" spans="1:18" x14ac:dyDescent="0.25">
      <c r="A61" s="5" t="s">
        <v>25</v>
      </c>
      <c r="B61" s="6">
        <f>0 * $B$38 + (1 - 0) * $B$37</f>
        <v>14.7</v>
      </c>
      <c r="C61" s="6">
        <f>0.0625 * $B$38 + (1 - 0.0625) * $B$37</f>
        <v>14.344250000000001</v>
      </c>
      <c r="D61" s="6">
        <f>0.125 * $B$38 + (1 - 0.125) * $B$37</f>
        <v>13.988499999999998</v>
      </c>
      <c r="E61" s="6">
        <f>0.1875 * $B$38 + (1 - 0.1875) * $B$37</f>
        <v>13.63275</v>
      </c>
      <c r="F61" s="6">
        <f>0.25 * $B$38 + (1 - 0.25) * $B$37</f>
        <v>13.276999999999997</v>
      </c>
      <c r="G61" s="6">
        <f>0.3125 * $B$38 + (1 - 0.3125) * $B$37</f>
        <v>12.921249999999999</v>
      </c>
      <c r="H61" s="6">
        <f>0.375 * $B$38 + (1 - 0.375) * $B$37</f>
        <v>12.5655</v>
      </c>
      <c r="I61" s="6">
        <f>0.4375 * $B$38 + (1 - 0.4375) * $B$37</f>
        <v>12.20975</v>
      </c>
      <c r="J61" s="6">
        <f>0.5 * $B$38 + (1 - 0.5) * $B$37</f>
        <v>11.853999999999999</v>
      </c>
      <c r="K61" s="6">
        <f>0.5625 * $B$38 + (1 - 0.5625) * $B$37</f>
        <v>11.498249999999999</v>
      </c>
      <c r="L61" s="6">
        <f>0.625 * $B$38 + (1 - 0.625) * $B$37</f>
        <v>11.142499999999998</v>
      </c>
      <c r="M61" s="6">
        <f>0.6875 * $B$38 + (1 - 0.6875) * $B$37</f>
        <v>10.78675</v>
      </c>
      <c r="N61" s="6">
        <f>0.75 * $B$38 + (1 - 0.75) * $B$37</f>
        <v>10.430999999999999</v>
      </c>
      <c r="O61" s="6">
        <f>0.8125 * $B$38 + (1 - 0.8125) * $B$37</f>
        <v>10.075249999999999</v>
      </c>
      <c r="P61" s="6">
        <f>0.875 * $B$38 + (1 - 0.875) * $B$37</f>
        <v>9.7195</v>
      </c>
      <c r="Q61" s="6">
        <f>0.9375 * $B$38 + (1 - 0.9375) * $B$37</f>
        <v>9.3637499999999978</v>
      </c>
      <c r="R61" s="7">
        <f>1 * $B$38 + (1 - 1) * $B$37</f>
        <v>9.0079999999999991</v>
      </c>
    </row>
    <row r="62" spans="1:18" x14ac:dyDescent="0.25">
      <c r="A62" s="8" t="s">
        <v>26</v>
      </c>
      <c r="B62" s="9">
        <f>(0 * $B$38 + (1 - 0) * $B$37) * $B$36 / 100</f>
        <v>14.7</v>
      </c>
      <c r="C62" s="9">
        <f>(0.0625 * $B$38 + (1 - 0.0625) * $B$37) * $B$36 / 100</f>
        <v>14.344249999999999</v>
      </c>
      <c r="D62" s="9">
        <f>(0.125 * $B$38 + (1 - 0.125) * $B$37) * $B$36 / 100</f>
        <v>13.988499999999998</v>
      </c>
      <c r="E62" s="9">
        <f>(0.1875 * $B$38 + (1 - 0.1875) * $B$37) * $B$36 / 100</f>
        <v>13.632749999999998</v>
      </c>
      <c r="F62" s="9">
        <f>(0.25 * $B$38 + (1 - 0.25) * $B$37) * $B$36 / 100</f>
        <v>13.276999999999997</v>
      </c>
      <c r="G62" s="9">
        <f>(0.3125 * $B$38 + (1 - 0.3125) * $B$37) * $B$36 / 100</f>
        <v>12.921249999999997</v>
      </c>
      <c r="H62" s="9">
        <f>(0.375 * $B$38 + (1 - 0.375) * $B$37) * $B$36 / 100</f>
        <v>12.5655</v>
      </c>
      <c r="I62" s="9">
        <f>(0.4375 * $B$38 + (1 - 0.4375) * $B$37) * $B$36 / 100</f>
        <v>12.20975</v>
      </c>
      <c r="J62" s="9">
        <f>(0.5 * $B$38 + (1 - 0.5) * $B$37) * $B$36 / 100</f>
        <v>11.853999999999999</v>
      </c>
      <c r="K62" s="9">
        <f>(0.5625 * $B$38 + (1 - 0.5625) * $B$37) * $B$36 / 100</f>
        <v>11.498249999999999</v>
      </c>
      <c r="L62" s="9">
        <f>(0.625 * $B$38 + (1 - 0.625) * $B$37) * $B$36 / 100</f>
        <v>11.142499999999998</v>
      </c>
      <c r="M62" s="9">
        <f>(0.6875 * $B$38 + (1 - 0.6875) * $B$37) * $B$36 / 100</f>
        <v>10.78675</v>
      </c>
      <c r="N62" s="9">
        <f>(0.75 * $B$38 + (1 - 0.75) * $B$37) * $B$36 / 100</f>
        <v>10.430999999999999</v>
      </c>
      <c r="O62" s="9">
        <f>(0.8125 * $B$38 + (1 - 0.8125) * $B$37) * $B$36 / 100</f>
        <v>10.075249999999999</v>
      </c>
      <c r="P62" s="9">
        <f>(0.875 * $B$38 + (1 - 0.875) * $B$37) * $B$36 / 100</f>
        <v>9.7195</v>
      </c>
      <c r="Q62" s="9">
        <f>(0.9375 * $B$38 + (1 - 0.9375) * $B$37) * $B$36 / 100</f>
        <v>9.3637499999999978</v>
      </c>
      <c r="R62" s="10">
        <f>(1 * $B$38 + (1 - 1) * $B$37) * $B$36 / 100</f>
        <v>9.0079999999999991</v>
      </c>
    </row>
    <row r="64" spans="1:18" ht="28.9" customHeight="1" x14ac:dyDescent="0.5">
      <c r="A64" s="1" t="s">
        <v>27</v>
      </c>
      <c r="B64" s="1"/>
    </row>
    <row r="65" spans="1:34" x14ac:dyDescent="0.25">
      <c r="A65" s="24" t="s">
        <v>28</v>
      </c>
      <c r="B65" s="25" t="s">
        <v>18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6"/>
    </row>
    <row r="66" spans="1:34" x14ac:dyDescent="0.25">
      <c r="A66" s="27" t="s">
        <v>42</v>
      </c>
      <c r="B66" s="28">
        <v>4.5</v>
      </c>
      <c r="C66" s="28">
        <v>5</v>
      </c>
      <c r="D66" s="28">
        <v>5.5</v>
      </c>
      <c r="E66" s="28">
        <v>6</v>
      </c>
      <c r="F66" s="28">
        <v>6.5</v>
      </c>
      <c r="G66" s="28">
        <v>7</v>
      </c>
      <c r="H66" s="28">
        <v>7.5</v>
      </c>
      <c r="I66" s="28">
        <v>8</v>
      </c>
      <c r="J66" s="28">
        <v>8.5</v>
      </c>
      <c r="K66" s="28">
        <v>9</v>
      </c>
      <c r="L66" s="28">
        <v>9.5</v>
      </c>
      <c r="M66" s="28">
        <v>10</v>
      </c>
      <c r="N66" s="28">
        <v>10.5</v>
      </c>
      <c r="O66" s="28">
        <v>11</v>
      </c>
      <c r="P66" s="28">
        <v>11.5</v>
      </c>
      <c r="Q66" s="28">
        <v>12</v>
      </c>
      <c r="R66" s="28">
        <v>12.5</v>
      </c>
      <c r="S66" s="28">
        <v>13</v>
      </c>
      <c r="T66" s="28">
        <v>13.5</v>
      </c>
      <c r="U66" s="28">
        <v>14</v>
      </c>
      <c r="V66" s="28">
        <v>14.5</v>
      </c>
      <c r="W66" s="28">
        <v>15</v>
      </c>
      <c r="X66" s="28">
        <v>15.5</v>
      </c>
      <c r="Y66" s="28">
        <v>16</v>
      </c>
      <c r="Z66" s="28">
        <v>16.5</v>
      </c>
      <c r="AA66" s="28">
        <v>17</v>
      </c>
      <c r="AB66" s="28">
        <v>17.5</v>
      </c>
      <c r="AC66" s="28">
        <v>18</v>
      </c>
      <c r="AD66" s="28">
        <v>18.5</v>
      </c>
      <c r="AE66" s="28">
        <v>19</v>
      </c>
      <c r="AF66" s="28">
        <v>19.5</v>
      </c>
      <c r="AG66" s="28">
        <v>20</v>
      </c>
      <c r="AH66" s="29">
        <v>20.5</v>
      </c>
    </row>
    <row r="67" spans="1:34" x14ac:dyDescent="0.25">
      <c r="A67" s="30">
        <v>-80</v>
      </c>
      <c r="B67" s="31">
        <v>5.7523536417678054</v>
      </c>
      <c r="C67" s="31">
        <v>5.1078540000181913</v>
      </c>
      <c r="D67" s="31">
        <v>4.535732108163856</v>
      </c>
      <c r="E67" s="31">
        <v>4.03002428244592</v>
      </c>
      <c r="F67" s="31">
        <v>3.585023287322286</v>
      </c>
      <c r="G67" s="31">
        <v>3.1952783354676551</v>
      </c>
      <c r="H67" s="31">
        <v>2.8555950877735121</v>
      </c>
      <c r="I67" s="31">
        <v>2.5610356533481329</v>
      </c>
      <c r="J67" s="31">
        <v>2.3069185895165818</v>
      </c>
      <c r="K67" s="31">
        <v>2.0888189018207171</v>
      </c>
      <c r="L67" s="31">
        <v>1.902568044019181</v>
      </c>
      <c r="M67" s="31">
        <v>1.7442539180874139</v>
      </c>
      <c r="N67" s="31">
        <v>1.6102208742176369</v>
      </c>
      <c r="O67" s="31">
        <v>1.497069710818866</v>
      </c>
      <c r="P67" s="31">
        <v>1.4016576745169049</v>
      </c>
      <c r="Q67" s="31">
        <v>1.3210984601543521</v>
      </c>
      <c r="R67" s="31">
        <v>1.252762210790582</v>
      </c>
      <c r="S67" s="31">
        <v>1.194275517701775</v>
      </c>
      <c r="T67" s="31">
        <v>1.1435214203808961</v>
      </c>
      <c r="U67" s="31">
        <v>1.098639406537695</v>
      </c>
      <c r="V67" s="31">
        <v>1.058025412098716</v>
      </c>
      <c r="W67" s="31">
        <v>1.0203318212072949</v>
      </c>
      <c r="X67" s="31">
        <v>0.98446746622356018</v>
      </c>
      <c r="Y67" s="31">
        <v>0.94959762772441025</v>
      </c>
      <c r="Z67" s="31">
        <v>0.9151440345035412</v>
      </c>
      <c r="AA67" s="31">
        <v>0.88078486357146712</v>
      </c>
      <c r="AB67" s="31">
        <v>0.84645474015545497</v>
      </c>
      <c r="AC67" s="31">
        <v>0.81234473769957216</v>
      </c>
      <c r="AD67" s="31">
        <v>0.77890237786471417</v>
      </c>
      <c r="AE67" s="31">
        <v>0.74683163052848678</v>
      </c>
      <c r="AF67" s="31">
        <v>0.71709291378536844</v>
      </c>
      <c r="AG67" s="31">
        <v>0.69090309394653826</v>
      </c>
      <c r="AH67" s="32">
        <v>0.66973548554008744</v>
      </c>
    </row>
    <row r="68" spans="1:34" x14ac:dyDescent="0.25">
      <c r="A68" s="30">
        <v>-70</v>
      </c>
      <c r="B68" s="31">
        <v>5.8479682591862039</v>
      </c>
      <c r="C68" s="31">
        <v>5.1918284239126384</v>
      </c>
      <c r="D68" s="31">
        <v>4.6090530486466266</v>
      </c>
      <c r="E68" s="31">
        <v>4.093637053263012</v>
      </c>
      <c r="F68" s="31">
        <v>3.6398318058534271</v>
      </c>
      <c r="G68" s="31">
        <v>3.2421451227263089</v>
      </c>
      <c r="H68" s="31">
        <v>2.8953412684068689</v>
      </c>
      <c r="I68" s="31">
        <v>2.594440955637114</v>
      </c>
      <c r="J68" s="31">
        <v>2.3347213453758409</v>
      </c>
      <c r="K68" s="31">
        <v>2.111716046798632</v>
      </c>
      <c r="L68" s="31">
        <v>1.9212151172978671</v>
      </c>
      <c r="M68" s="31">
        <v>1.7592650624827091</v>
      </c>
      <c r="N68" s="31">
        <v>1.622168836179116</v>
      </c>
      <c r="O68" s="31">
        <v>1.5064858404298269</v>
      </c>
      <c r="P68" s="31">
        <v>1.4090319254943811</v>
      </c>
      <c r="Q68" s="31">
        <v>1.3268793898491089</v>
      </c>
      <c r="R68" s="31">
        <v>1.257356980187105</v>
      </c>
      <c r="S68" s="31">
        <v>1.198049891418296</v>
      </c>
      <c r="T68" s="31">
        <v>1.146799766669367</v>
      </c>
      <c r="U68" s="31">
        <v>1.1017046972837909</v>
      </c>
      <c r="V68" s="31">
        <v>1.0611192228218529</v>
      </c>
      <c r="W68" s="31">
        <v>1.0236543310606161</v>
      </c>
      <c r="X68" s="31">
        <v>0.98817745799393997</v>
      </c>
      <c r="Y68" s="31">
        <v>0.95381248783244232</v>
      </c>
      <c r="Z68" s="31">
        <v>0.91993975300356123</v>
      </c>
      <c r="AA68" s="31">
        <v>0.886196034151565</v>
      </c>
      <c r="AB68" s="31">
        <v>0.85247456013739698</v>
      </c>
      <c r="AC68" s="31">
        <v>0.81892500803890322</v>
      </c>
      <c r="AD68" s="31">
        <v>0.78595350315067602</v>
      </c>
      <c r="AE68" s="31">
        <v>0.7542226189840664</v>
      </c>
      <c r="AF68" s="31">
        <v>0.72465137726726792</v>
      </c>
      <c r="AG68" s="31">
        <v>0.6984152479452207</v>
      </c>
      <c r="AH68" s="32">
        <v>0.67694614917969176</v>
      </c>
    </row>
    <row r="69" spans="1:34" x14ac:dyDescent="0.25">
      <c r="A69" s="30">
        <v>-60</v>
      </c>
      <c r="B69" s="31">
        <v>5.9456927718465851</v>
      </c>
      <c r="C69" s="31">
        <v>5.2777481629807808</v>
      </c>
      <c r="D69" s="31">
        <v>4.6841614064520147</v>
      </c>
      <c r="E69" s="31">
        <v>4.1588860257688616</v>
      </c>
      <c r="F69" s="31">
        <v>3.696131992656686</v>
      </c>
      <c r="G69" s="31">
        <v>3.2903657270576492</v>
      </c>
      <c r="H69" s="31">
        <v>2.936310097130697</v>
      </c>
      <c r="I69" s="31">
        <v>2.6289444192515652</v>
      </c>
      <c r="J69" s="31">
        <v>2.36350445801278</v>
      </c>
      <c r="K69" s="31">
        <v>2.1354824262236529</v>
      </c>
      <c r="L69" s="31">
        <v>1.9406269849102999</v>
      </c>
      <c r="M69" s="31">
        <v>1.774943243315608</v>
      </c>
      <c r="N69" s="31">
        <v>1.634692758899263</v>
      </c>
      <c r="O69" s="31">
        <v>1.5163935373377491</v>
      </c>
      <c r="P69" s="31">
        <v>1.416820032524319</v>
      </c>
      <c r="Q69" s="31">
        <v>1.3330031465690371</v>
      </c>
      <c r="R69" s="31">
        <v>1.26223022979874</v>
      </c>
      <c r="S69" s="31">
        <v>1.2020450807570591</v>
      </c>
      <c r="T69" s="31">
        <v>1.1502479462044299</v>
      </c>
      <c r="U69" s="31">
        <v>1.104895521118054</v>
      </c>
      <c r="V69" s="31">
        <v>1.064300948691953</v>
      </c>
      <c r="W69" s="31">
        <v>1.0270338203368961</v>
      </c>
      <c r="X69" s="31">
        <v>0.99192017568049462</v>
      </c>
      <c r="Y69" s="31">
        <v>0.95804250256709078</v>
      </c>
      <c r="Z69" s="31">
        <v>0.92473973705785562</v>
      </c>
      <c r="AA69" s="31">
        <v>0.89160726343076557</v>
      </c>
      <c r="AB69" s="31">
        <v>0.8584969141805221</v>
      </c>
      <c r="AC69" s="31">
        <v>0.82551697001868996</v>
      </c>
      <c r="AD69" s="31">
        <v>0.79303215987360054</v>
      </c>
      <c r="AE69" s="31">
        <v>0.76166366089031723</v>
      </c>
      <c r="AF69" s="31">
        <v>0.7322890984307906</v>
      </c>
      <c r="AG69" s="31">
        <v>0.70604254607365413</v>
      </c>
      <c r="AH69" s="32">
        <v>0.68431452561443962</v>
      </c>
    </row>
    <row r="70" spans="1:34" x14ac:dyDescent="0.25">
      <c r="A70" s="30">
        <v>-50</v>
      </c>
      <c r="B70" s="31">
        <v>6.0455399470599627</v>
      </c>
      <c r="C70" s="31">
        <v>5.3656254772429346</v>
      </c>
      <c r="D70" s="31">
        <v>4.7610689343096393</v>
      </c>
      <c r="E70" s="31">
        <v>4.2257824454023867</v>
      </c>
      <c r="F70" s="31">
        <v>3.7539345858802728</v>
      </c>
      <c r="G70" s="31">
        <v>3.3399503793191871</v>
      </c>
      <c r="H70" s="31">
        <v>2.978511297511806</v>
      </c>
      <c r="I70" s="31">
        <v>2.6645552604675928</v>
      </c>
      <c r="J70" s="31">
        <v>2.393276636412808</v>
      </c>
      <c r="K70" s="31">
        <v>2.1601262417904969</v>
      </c>
      <c r="L70" s="31">
        <v>1.9608113412604931</v>
      </c>
      <c r="M70" s="31">
        <v>1.7912956476994211</v>
      </c>
      <c r="N70" s="31">
        <v>1.647799322200701</v>
      </c>
      <c r="O70" s="31">
        <v>1.52679897407454</v>
      </c>
      <c r="P70" s="31">
        <v>1.425027660847926</v>
      </c>
      <c r="Q70" s="31">
        <v>1.3394748882646459</v>
      </c>
      <c r="R70" s="31">
        <v>1.2673866102852731</v>
      </c>
      <c r="S70" s="31">
        <v>1.206265229087174</v>
      </c>
      <c r="T70" s="31">
        <v>1.153869595064505</v>
      </c>
      <c r="U70" s="31">
        <v>1.108215006828202</v>
      </c>
      <c r="V70" s="31">
        <v>1.0675732112060099</v>
      </c>
      <c r="W70" s="31">
        <v>1.0304724032424439</v>
      </c>
      <c r="X70" s="31">
        <v>0.99569722619883716</v>
      </c>
      <c r="Y70" s="31">
        <v>0.96228877155325054</v>
      </c>
      <c r="Z70" s="31">
        <v>0.92954457900059662</v>
      </c>
      <c r="AA70" s="31">
        <v>0.89701863645258417</v>
      </c>
      <c r="AB70" s="31">
        <v>0.86452138003764367</v>
      </c>
      <c r="AC70" s="31">
        <v>0.832119694101074</v>
      </c>
      <c r="AD70" s="31">
        <v>0.80013691120489816</v>
      </c>
      <c r="AE70" s="31">
        <v>0.76915281212796349</v>
      </c>
      <c r="AF70" s="31">
        <v>0.74000362586592772</v>
      </c>
      <c r="AG70" s="31">
        <v>0.71378202963115811</v>
      </c>
      <c r="AH70" s="32">
        <v>0.69183714885292225</v>
      </c>
    </row>
    <row r="71" spans="1:34" x14ac:dyDescent="0.25">
      <c r="A71" s="30">
        <v>-40</v>
      </c>
      <c r="B71" s="31">
        <v>6.1475225906465178</v>
      </c>
      <c r="C71" s="31">
        <v>5.4554726652285748</v>
      </c>
      <c r="D71" s="31">
        <v>4.8397874234582812</v>
      </c>
      <c r="E71" s="31">
        <v>4.2943375961116681</v>
      </c>
      <c r="F71" s="31">
        <v>3.813250362181571</v>
      </c>
      <c r="G71" s="31">
        <v>3.390909348877607</v>
      </c>
      <c r="H71" s="31">
        <v>3.0219546316261798</v>
      </c>
      <c r="I71" s="31">
        <v>2.701282734070487</v>
      </c>
      <c r="J71" s="31">
        <v>2.4240466280705162</v>
      </c>
      <c r="K71" s="31">
        <v>2.185655733703042</v>
      </c>
      <c r="L71" s="31">
        <v>1.98177591926163</v>
      </c>
      <c r="M71" s="31">
        <v>1.8083295012566389</v>
      </c>
      <c r="N71" s="31">
        <v>1.661495244415214</v>
      </c>
      <c r="O71" s="31">
        <v>1.5377083616812901</v>
      </c>
      <c r="P71" s="31">
        <v>1.43366051421559</v>
      </c>
      <c r="Q71" s="31">
        <v>1.346299811395635</v>
      </c>
      <c r="R71" s="31">
        <v>1.272830810815718</v>
      </c>
      <c r="S71" s="31">
        <v>1.2107145182869401</v>
      </c>
      <c r="T71" s="31">
        <v>1.1576683878371909</v>
      </c>
      <c r="U71" s="31">
        <v>1.1116663217111371</v>
      </c>
      <c r="V71" s="31">
        <v>1.070938670370241</v>
      </c>
      <c r="W71" s="31">
        <v>1.033972232492762</v>
      </c>
      <c r="X71" s="31">
        <v>0.99951025497374424</v>
      </c>
      <c r="Y71" s="31">
        <v>0.9665524329250168</v>
      </c>
      <c r="Z71" s="31">
        <v>0.9343549096751893</v>
      </c>
      <c r="AA71" s="31">
        <v>0.90243027676970999</v>
      </c>
      <c r="AB71" s="31">
        <v>0.87054757397073945</v>
      </c>
      <c r="AC71" s="31">
        <v>0.83873228925729748</v>
      </c>
      <c r="AD71" s="31">
        <v>0.80726635882516329</v>
      </c>
      <c r="AE71" s="31">
        <v>0.77668816708689914</v>
      </c>
      <c r="AF71" s="31">
        <v>0.74779254667188533</v>
      </c>
      <c r="AG71" s="31">
        <v>0.72163077842622403</v>
      </c>
      <c r="AH71" s="32">
        <v>0.69951059141290983</v>
      </c>
    </row>
    <row r="72" spans="1:34" x14ac:dyDescent="0.25">
      <c r="A72" s="30">
        <v>-30</v>
      </c>
      <c r="B72" s="31">
        <v>6.2516535469356018</v>
      </c>
      <c r="C72" s="31">
        <v>5.5473020639763524</v>
      </c>
      <c r="D72" s="31">
        <v>4.9203287036458816</v>
      </c>
      <c r="E72" s="31">
        <v>4.3645628003539558</v>
      </c>
      <c r="F72" s="31">
        <v>3.874090136727129</v>
      </c>
      <c r="G72" s="31">
        <v>3.443252943608754</v>
      </c>
      <c r="H72" s="31">
        <v>3.066649900058966</v>
      </c>
      <c r="I72" s="31">
        <v>2.739136133354692</v>
      </c>
      <c r="J72" s="31">
        <v>2.4558232189896478</v>
      </c>
      <c r="K72" s="31">
        <v>2.212079180674341</v>
      </c>
      <c r="L72" s="31">
        <v>2.0035284903360639</v>
      </c>
      <c r="M72" s="31">
        <v>1.8260520681189101</v>
      </c>
      <c r="N72" s="31">
        <v>1.6757872823837481</v>
      </c>
      <c r="O72" s="31">
        <v>1.54912794970825</v>
      </c>
      <c r="P72" s="31">
        <v>1.442724334886865</v>
      </c>
      <c r="Q72" s="31">
        <v>1.3534831509308409</v>
      </c>
      <c r="R72" s="31">
        <v>1.2785675590682031</v>
      </c>
      <c r="S72" s="31">
        <v>1.215397168743793</v>
      </c>
      <c r="T72" s="31">
        <v>1.1616480376192191</v>
      </c>
      <c r="U72" s="31">
        <v>1.115252671572879</v>
      </c>
      <c r="V72" s="31">
        <v>1.074400024699973</v>
      </c>
      <c r="W72" s="31">
        <v>1.0375354993124839</v>
      </c>
      <c r="X72" s="31">
        <v>1.003360945939185</v>
      </c>
      <c r="Y72" s="31">
        <v>0.9708346633256375</v>
      </c>
      <c r="Z72" s="31">
        <v>0.93917139843417963</v>
      </c>
      <c r="AA72" s="31">
        <v>0.90784234644400241</v>
      </c>
      <c r="AB72" s="31">
        <v>0.87657515075097669</v>
      </c>
      <c r="AC72" s="31">
        <v>0.84535390296786139</v>
      </c>
      <c r="AD72" s="31">
        <v>0.81441914292416906</v>
      </c>
      <c r="AE72" s="31">
        <v>0.78426785866618376</v>
      </c>
      <c r="AF72" s="31">
        <v>0.75565348645701735</v>
      </c>
      <c r="AG72" s="31">
        <v>0.72958591077651003</v>
      </c>
      <c r="AH72" s="32">
        <v>0.7073314643213956</v>
      </c>
    </row>
    <row r="73" spans="1:34" x14ac:dyDescent="0.25">
      <c r="A73" s="30">
        <v>-20</v>
      </c>
      <c r="B73" s="31">
        <v>6.3579456987657084</v>
      </c>
      <c r="C73" s="31">
        <v>5.6411260490340656</v>
      </c>
      <c r="D73" s="31">
        <v>5.0027046431295474</v>
      </c>
      <c r="E73" s="31">
        <v>4.4364694190956451</v>
      </c>
      <c r="F73" s="31">
        <v>3.9364647631926468</v>
      </c>
      <c r="G73" s="31">
        <v>3.4969915098976312</v>
      </c>
      <c r="H73" s="31">
        <v>3.1126069419044629</v>
      </c>
      <c r="I73" s="31">
        <v>2.7781247901238069</v>
      </c>
      <c r="J73" s="31">
        <v>2.4886152336831051</v>
      </c>
      <c r="K73" s="31">
        <v>2.239404899926587</v>
      </c>
      <c r="L73" s="31">
        <v>2.026076864415288</v>
      </c>
      <c r="M73" s="31">
        <v>1.844470650927025</v>
      </c>
      <c r="N73" s="31">
        <v>1.690682231456403</v>
      </c>
      <c r="O73" s="31">
        <v>1.561064026214809</v>
      </c>
      <c r="P73" s="31">
        <v>1.4522249036304351</v>
      </c>
      <c r="Q73" s="31">
        <v>1.3610301803482641</v>
      </c>
      <c r="R73" s="31">
        <v>1.284601621230048</v>
      </c>
      <c r="S73" s="31">
        <v>1.220317439354339</v>
      </c>
      <c r="T73" s="31">
        <v>1.1658122960164909</v>
      </c>
      <c r="U73" s="31">
        <v>1.118977300728643</v>
      </c>
      <c r="V73" s="31">
        <v>1.077960011219711</v>
      </c>
      <c r="W73" s="31">
        <v>1.041164433435402</v>
      </c>
      <c r="X73" s="31">
        <v>1.0072510215382491</v>
      </c>
      <c r="Y73" s="31">
        <v>0.97513667790749814</v>
      </c>
      <c r="Z73" s="31">
        <v>0.94399475313926839</v>
      </c>
      <c r="AA73" s="31">
        <v>0.91325504604643382</v>
      </c>
      <c r="AB73" s="31">
        <v>0.88260380365863078</v>
      </c>
      <c r="AC73" s="31">
        <v>0.85198372122232158</v>
      </c>
      <c r="AD73" s="31">
        <v>0.82159394220077431</v>
      </c>
      <c r="AE73" s="31">
        <v>0.79189005827397818</v>
      </c>
      <c r="AF73" s="31">
        <v>0.76358410933881171</v>
      </c>
      <c r="AG73" s="31">
        <v>0.73764458350881057</v>
      </c>
      <c r="AH73" s="32">
        <v>0.71529641711443059</v>
      </c>
    </row>
    <row r="74" spans="1:34" x14ac:dyDescent="0.25">
      <c r="A74" s="30">
        <v>-10</v>
      </c>
      <c r="B74" s="31">
        <v>6.4664119674845093</v>
      </c>
      <c r="C74" s="31">
        <v>5.7369570344586878</v>
      </c>
      <c r="D74" s="31">
        <v>5.0869271486755494</v>
      </c>
      <c r="E74" s="31">
        <v>4.5100688518123091</v>
      </c>
      <c r="F74" s="31">
        <v>4.0003851337629941</v>
      </c>
      <c r="G74" s="31">
        <v>3.5521354326384058</v>
      </c>
      <c r="H74" s="31">
        <v>3.1598356347661518</v>
      </c>
      <c r="I74" s="31">
        <v>2.8182580746906098</v>
      </c>
      <c r="J74" s="31">
        <v>2.522431535172958</v>
      </c>
      <c r="K74" s="31">
        <v>2.2676412471911651</v>
      </c>
      <c r="L74" s="31">
        <v>2.049428889939986</v>
      </c>
      <c r="M74" s="31">
        <v>1.863592590830969</v>
      </c>
      <c r="N74" s="31">
        <v>1.7061869254924511</v>
      </c>
      <c r="O74" s="31">
        <v>1.573522917769556</v>
      </c>
      <c r="P74" s="31">
        <v>1.462168039724197</v>
      </c>
      <c r="Q74" s="31">
        <v>1.368946211635089</v>
      </c>
      <c r="R74" s="31">
        <v>1.290937801997708</v>
      </c>
      <c r="S74" s="31">
        <v>1.225479627524354</v>
      </c>
      <c r="T74" s="31">
        <v>1.170164953144105</v>
      </c>
      <c r="U74" s="31">
        <v>1.122843492002809</v>
      </c>
      <c r="V74" s="31">
        <v>1.081621405463139</v>
      </c>
      <c r="W74" s="31">
        <v>1.0448613031045331</v>
      </c>
      <c r="X74" s="31">
        <v>1.011182242723216</v>
      </c>
      <c r="Y74" s="31">
        <v>0.97945973033221456</v>
      </c>
      <c r="Z74" s="31">
        <v>0.9488257201613397</v>
      </c>
      <c r="AA74" s="31">
        <v>0.91866861465720884</v>
      </c>
      <c r="AB74" s="31">
        <v>0.88863326448319813</v>
      </c>
      <c r="AC74" s="31">
        <v>0.85862096851949599</v>
      </c>
      <c r="AD74" s="31">
        <v>0.82878947386309665</v>
      </c>
      <c r="AE74" s="31">
        <v>0.79955297582771956</v>
      </c>
      <c r="AF74" s="31">
        <v>0.77158211794395348</v>
      </c>
      <c r="AG74" s="31">
        <v>0.74580399195909286</v>
      </c>
      <c r="AH74" s="32">
        <v>0.72340213783733631</v>
      </c>
    </row>
    <row r="75" spans="1:34" x14ac:dyDescent="0.25">
      <c r="A75" s="30">
        <v>0</v>
      </c>
      <c r="B75" s="31">
        <v>6.5770653129488323</v>
      </c>
      <c r="C75" s="31">
        <v>5.8348074728163457</v>
      </c>
      <c r="D75" s="31">
        <v>5.173008165559307</v>
      </c>
      <c r="E75" s="31">
        <v>4.5853725364886779</v>
      </c>
      <c r="F75" s="31">
        <v>4.0658621791321963</v>
      </c>
      <c r="G75" s="31">
        <v>3.6086951352344121</v>
      </c>
      <c r="H75" s="31">
        <v>3.2083458947566448</v>
      </c>
      <c r="I75" s="31">
        <v>2.8595453958770181</v>
      </c>
      <c r="J75" s="31">
        <v>2.5572810249904361</v>
      </c>
      <c r="K75" s="31">
        <v>2.2967966167085918</v>
      </c>
      <c r="L75" s="31">
        <v>2.073592453859975</v>
      </c>
      <c r="M75" s="31">
        <v>1.8834252674898599</v>
      </c>
      <c r="N75" s="31">
        <v>1.7223082368603231</v>
      </c>
      <c r="O75" s="31">
        <v>1.586510989450211</v>
      </c>
      <c r="P75" s="31">
        <v>1.472559600955164</v>
      </c>
      <c r="Q75" s="31">
        <v>1.37723659528763</v>
      </c>
      <c r="R75" s="31">
        <v>1.2975809445768249</v>
      </c>
      <c r="S75" s="31">
        <v>1.230888069168766</v>
      </c>
      <c r="T75" s="31">
        <v>1.174709837626265</v>
      </c>
      <c r="U75" s="31">
        <v>1.1268545667289069</v>
      </c>
      <c r="V75" s="31">
        <v>1.085387021473075</v>
      </c>
      <c r="W75" s="31">
        <v>1.0486284150719569</v>
      </c>
      <c r="X75" s="31">
        <v>1.015156408955513</v>
      </c>
      <c r="Y75" s="31">
        <v>0.98380511277047433</v>
      </c>
      <c r="Z75" s="31">
        <v>0.95366508438040065</v>
      </c>
      <c r="AA75" s="31">
        <v>0.92408332986565289</v>
      </c>
      <c r="AB75" s="31">
        <v>0.89466330352330947</v>
      </c>
      <c r="AC75" s="31">
        <v>0.86526490786729615</v>
      </c>
      <c r="AD75" s="31">
        <v>0.83600449362833051</v>
      </c>
      <c r="AE75" s="31">
        <v>0.80725485975389</v>
      </c>
      <c r="AF75" s="31">
        <v>0.7796452534082654</v>
      </c>
      <c r="AG75" s="31">
        <v>0.75406136997249373</v>
      </c>
      <c r="AH75" s="32">
        <v>0.7316453530445024</v>
      </c>
    </row>
    <row r="76" spans="1:34" x14ac:dyDescent="0.25">
      <c r="A76" s="30">
        <v>10</v>
      </c>
      <c r="B76" s="31">
        <v>6.6899187335246628</v>
      </c>
      <c r="C76" s="31">
        <v>5.9346898551823193</v>
      </c>
      <c r="D76" s="31">
        <v>5.2609596775654142</v>
      </c>
      <c r="E76" s="31">
        <v>4.6623919496186321</v>
      </c>
      <c r="F76" s="31">
        <v>4.1329068685034489</v>
      </c>
      <c r="G76" s="31">
        <v>3.6666810795981299</v>
      </c>
      <c r="H76" s="31">
        <v>3.258147676497742</v>
      </c>
      <c r="I76" s="31">
        <v>2.9019962010141298</v>
      </c>
      <c r="J76" s="31">
        <v>2.5931726431759272</v>
      </c>
      <c r="K76" s="31">
        <v>2.3268794412285612</v>
      </c>
      <c r="L76" s="31">
        <v>2.0985754816342461</v>
      </c>
      <c r="M76" s="31">
        <v>1.9039760990719969</v>
      </c>
      <c r="N76" s="31">
        <v>1.739053076437608</v>
      </c>
      <c r="O76" s="31">
        <v>1.600034644843658</v>
      </c>
      <c r="P76" s="31">
        <v>1.4834054836195301</v>
      </c>
      <c r="Q76" s="31">
        <v>1.3859067203113891</v>
      </c>
      <c r="R76" s="31">
        <v>1.3045359306821811</v>
      </c>
      <c r="S76" s="31">
        <v>1.236547138711664</v>
      </c>
      <c r="T76" s="31">
        <v>1.179450816596364</v>
      </c>
      <c r="U76" s="31">
        <v>1.131013884749613</v>
      </c>
      <c r="V76" s="31">
        <v>1.089259711801523</v>
      </c>
      <c r="W76" s="31">
        <v>1.0524681145989949</v>
      </c>
      <c r="X76" s="31">
        <v>1.019175358205725</v>
      </c>
      <c r="Y76" s="31">
        <v>0.9881741559022007</v>
      </c>
      <c r="Z76" s="31">
        <v>0.95851366918567038</v>
      </c>
      <c r="AA76" s="31">
        <v>0.92949950777024903</v>
      </c>
      <c r="AB76" s="31">
        <v>0.90069372958673644</v>
      </c>
      <c r="AC76" s="31">
        <v>0.87191484078281456</v>
      </c>
      <c r="AD76" s="31">
        <v>0.84323779572289925</v>
      </c>
      <c r="AE76" s="31">
        <v>0.81499399698819308</v>
      </c>
      <c r="AF76" s="31">
        <v>0.78777129537676438</v>
      </c>
      <c r="AG76" s="31">
        <v>0.76241398990331888</v>
      </c>
      <c r="AH76" s="32">
        <v>0.7400228277995462</v>
      </c>
    </row>
    <row r="77" spans="1:34" x14ac:dyDescent="0.25">
      <c r="A77" s="30">
        <v>20</v>
      </c>
      <c r="B77" s="31">
        <v>6.8049852660871597</v>
      </c>
      <c r="C77" s="31">
        <v>6.0366167111410762</v>
      </c>
      <c r="D77" s="31">
        <v>5.3507937069876323</v>
      </c>
      <c r="E77" s="31">
        <v>4.741138606205233</v>
      </c>
      <c r="F77" s="31">
        <v>4.2015302095891016</v>
      </c>
      <c r="G77" s="31">
        <v>3.7261037661512262</v>
      </c>
      <c r="H77" s="31">
        <v>3.309250973120399</v>
      </c>
      <c r="I77" s="31">
        <v>2.9456199759421948</v>
      </c>
      <c r="J77" s="31">
        <v>2.6301153682789868</v>
      </c>
      <c r="K77" s="31">
        <v>2.3578981920099289</v>
      </c>
      <c r="L77" s="31">
        <v>2.1243859372309619</v>
      </c>
      <c r="M77" s="31">
        <v>1.9252525422548299</v>
      </c>
      <c r="N77" s="31">
        <v>1.7564283936110581</v>
      </c>
      <c r="O77" s="31">
        <v>1.6141003260459661</v>
      </c>
      <c r="P77" s="31">
        <v>1.49471162252265</v>
      </c>
      <c r="Q77" s="31">
        <v>1.394962014221016</v>
      </c>
      <c r="R77" s="31">
        <v>1.311807680537741</v>
      </c>
      <c r="S77" s="31">
        <v>1.2424612490863041</v>
      </c>
      <c r="T77" s="31">
        <v>1.1843917956969761</v>
      </c>
      <c r="U77" s="31">
        <v>1.1353248444167989</v>
      </c>
      <c r="V77" s="31">
        <v>1.0932423675096259</v>
      </c>
      <c r="W77" s="31">
        <v>1.0563827854560961</v>
      </c>
      <c r="X77" s="31">
        <v>1.0232409669536331</v>
      </c>
      <c r="Y77" s="31">
        <v>0.99256822891642393</v>
      </c>
      <c r="Z77" s="31">
        <v>0.96337233647549747</v>
      </c>
      <c r="AA77" s="31">
        <v>0.93491750297866194</v>
      </c>
      <c r="AB77" s="31">
        <v>0.90672438999045502</v>
      </c>
      <c r="AC77" s="31">
        <v>0.87857010729230112</v>
      </c>
      <c r="AD77" s="31">
        <v>0.85048821288233256</v>
      </c>
      <c r="AE77" s="31">
        <v>0.8227687129755028</v>
      </c>
      <c r="AF77" s="31">
        <v>0.79595806200357466</v>
      </c>
      <c r="AG77" s="31">
        <v>0.7708591626150253</v>
      </c>
      <c r="AH77" s="32">
        <v>0.74853136567523393</v>
      </c>
    </row>
    <row r="78" spans="1:34" x14ac:dyDescent="0.25">
      <c r="A78" s="30">
        <v>30</v>
      </c>
      <c r="B78" s="31">
        <v>6.922277986020628</v>
      </c>
      <c r="C78" s="31">
        <v>6.1406006087862171</v>
      </c>
      <c r="D78" s="31">
        <v>5.4425223146288557</v>
      </c>
      <c r="E78" s="31">
        <v>4.8216240597606941</v>
      </c>
      <c r="F78" s="31">
        <v>4.2717432486106643</v>
      </c>
      <c r="G78" s="31">
        <v>3.7869737338245</v>
      </c>
      <c r="H78" s="31">
        <v>3.3616658162647202</v>
      </c>
      <c r="I78" s="31">
        <v>2.9904262450106311</v>
      </c>
      <c r="J78" s="31">
        <v>2.6681182173583302</v>
      </c>
      <c r="K78" s="31">
        <v>2.389861378820703</v>
      </c>
      <c r="L78" s="31">
        <v>2.1510318231274308</v>
      </c>
      <c r="M78" s="31">
        <v>1.947262092224973</v>
      </c>
      <c r="N78" s="31">
        <v>1.7744411762765979</v>
      </c>
      <c r="O78" s="31">
        <v>1.62871451366234</v>
      </c>
      <c r="P78" s="31">
        <v>1.5064839909790431</v>
      </c>
      <c r="Q78" s="31">
        <v>1.4044079430403309</v>
      </c>
      <c r="R78" s="31">
        <v>1.319401152876609</v>
      </c>
      <c r="S78" s="31">
        <v>1.2486348517351049</v>
      </c>
      <c r="T78" s="31">
        <v>1.189536719079805</v>
      </c>
      <c r="U78" s="31">
        <v>1.139790882591472</v>
      </c>
      <c r="V78" s="31">
        <v>1.0973379181677141</v>
      </c>
      <c r="W78" s="31">
        <v>1.0603748499228729</v>
      </c>
      <c r="X78" s="31">
        <v>1.027355150188122</v>
      </c>
      <c r="Y78" s="31">
        <v>0.99698873951138001</v>
      </c>
      <c r="Z78" s="31">
        <v>0.96824198665739314</v>
      </c>
      <c r="AA78" s="31">
        <v>0.94033770860770394</v>
      </c>
      <c r="AB78" s="31">
        <v>0.91275517056058331</v>
      </c>
      <c r="AC78" s="31">
        <v>0.88523008593117691</v>
      </c>
      <c r="AD78" s="31">
        <v>0.85775461635137162</v>
      </c>
      <c r="AE78" s="31">
        <v>0.83057737166982226</v>
      </c>
      <c r="AF78" s="31">
        <v>0.80420340995202766</v>
      </c>
      <c r="AG78" s="31">
        <v>0.77939423748021863</v>
      </c>
      <c r="AH78" s="32">
        <v>0.75716780875348288</v>
      </c>
    </row>
    <row r="79" spans="1:34" x14ac:dyDescent="0.25">
      <c r="A79" s="30">
        <v>40</v>
      </c>
      <c r="B79" s="31">
        <v>7.0418100072185563</v>
      </c>
      <c r="C79" s="31">
        <v>6.2466541547205283</v>
      </c>
      <c r="D79" s="31">
        <v>5.5361575998011796</v>
      </c>
      <c r="E79" s="31">
        <v>4.9038599023063894</v>
      </c>
      <c r="F79" s="31">
        <v>4.3435570702988198</v>
      </c>
      <c r="G79" s="31">
        <v>3.8493015600579419</v>
      </c>
      <c r="H79" s="31">
        <v>3.4154022760799951</v>
      </c>
      <c r="I79" s="31">
        <v>3.0364245710780162</v>
      </c>
      <c r="J79" s="31">
        <v>2.7071902459818391</v>
      </c>
      <c r="K79" s="31">
        <v>2.422777549938075</v>
      </c>
      <c r="L79" s="31">
        <v>2.178521180310133</v>
      </c>
      <c r="M79" s="31">
        <v>1.9700122826782129</v>
      </c>
      <c r="N79" s="31">
        <v>1.793098450839294</v>
      </c>
      <c r="O79" s="31">
        <v>1.643883726807168</v>
      </c>
      <c r="P79" s="31">
        <v>1.5187286008123879</v>
      </c>
      <c r="Q79" s="31">
        <v>1.4142500113023111</v>
      </c>
      <c r="R79" s="31">
        <v>1.327321344941083</v>
      </c>
      <c r="S79" s="31">
        <v>1.2550724366096431</v>
      </c>
      <c r="T79" s="31">
        <v>1.1948895694057211</v>
      </c>
      <c r="U79" s="31">
        <v>1.1444154746438211</v>
      </c>
      <c r="V79" s="31">
        <v>1.1015493318552609</v>
      </c>
      <c r="W79" s="31">
        <v>1.064446768788111</v>
      </c>
      <c r="X79" s="31">
        <v>1.0315198614072829</v>
      </c>
      <c r="Y79" s="31">
        <v>1.0014371338944521</v>
      </c>
      <c r="Z79" s="31">
        <v>0.97312355864803735</v>
      </c>
      <c r="AA79" s="31">
        <v>0.94576055628335698</v>
      </c>
      <c r="AB79" s="31">
        <v>0.91878599563241725</v>
      </c>
      <c r="AC79" s="31">
        <v>0.89189419374405066</v>
      </c>
      <c r="AD79" s="31">
        <v>0.86503591588389361</v>
      </c>
      <c r="AE79" s="31">
        <v>0.83841837553435306</v>
      </c>
      <c r="AF79" s="31">
        <v>0.81250523439463884</v>
      </c>
      <c r="AG79" s="31">
        <v>0.78801660238068649</v>
      </c>
      <c r="AH79" s="32">
        <v>0.76592903762535869</v>
      </c>
    </row>
    <row r="80" spans="1:34" x14ac:dyDescent="0.25">
      <c r="A80" s="30">
        <v>50</v>
      </c>
      <c r="B80" s="31">
        <v>7.163594482083572</v>
      </c>
      <c r="C80" s="31">
        <v>6.3547899940559383</v>
      </c>
      <c r="D80" s="31">
        <v>5.6317117003258321</v>
      </c>
      <c r="E80" s="31">
        <v>4.9878577643728557</v>
      </c>
      <c r="F80" s="31">
        <v>4.4169827978934091</v>
      </c>
      <c r="G80" s="31">
        <v>3.9130978608006788</v>
      </c>
      <c r="H80" s="31">
        <v>3.470470461224648</v>
      </c>
      <c r="I80" s="31">
        <v>3.0836245555120829</v>
      </c>
      <c r="J80" s="31">
        <v>2.7473405482265441</v>
      </c>
      <c r="K80" s="31">
        <v>2.4566552921483682</v>
      </c>
      <c r="L80" s="31">
        <v>2.206862088274705</v>
      </c>
      <c r="M80" s="31">
        <v>1.9935106858194711</v>
      </c>
      <c r="N80" s="31">
        <v>1.8124072822133961</v>
      </c>
      <c r="O80" s="31">
        <v>1.6596145231039769</v>
      </c>
      <c r="P80" s="31">
        <v>1.5314515023555171</v>
      </c>
      <c r="Q80" s="31">
        <v>1.4244937620490929</v>
      </c>
      <c r="R80" s="31">
        <v>1.335573292482586</v>
      </c>
      <c r="S80" s="31">
        <v>1.26177853217066</v>
      </c>
      <c r="T80" s="31">
        <v>1.2004543678447781</v>
      </c>
      <c r="U80" s="31">
        <v>1.1492021344531731</v>
      </c>
      <c r="V80" s="31">
        <v>1.1058796151608969</v>
      </c>
      <c r="W80" s="31">
        <v>1.068601041349744</v>
      </c>
      <c r="X80" s="31">
        <v>1.0357370926183731</v>
      </c>
      <c r="Y80" s="31">
        <v>1.0059148967821481</v>
      </c>
      <c r="Z80" s="31">
        <v>0.97801802987327813</v>
      </c>
      <c r="AA80" s="31">
        <v>0.95118651614076932</v>
      </c>
      <c r="AB80" s="31">
        <v>0.92481682805035526</v>
      </c>
      <c r="AC80" s="31">
        <v>0.89856188628462152</v>
      </c>
      <c r="AD80" s="31">
        <v>0.87233105974291902</v>
      </c>
      <c r="AE80" s="31">
        <v>0.84629016554139769</v>
      </c>
      <c r="AF80" s="31">
        <v>0.82086146901298596</v>
      </c>
      <c r="AG80" s="31">
        <v>0.79672368370737023</v>
      </c>
      <c r="AH80" s="32">
        <v>0.77481197139112046</v>
      </c>
    </row>
    <row r="81" spans="1:34" x14ac:dyDescent="0.25">
      <c r="A81" s="30">
        <v>60</v>
      </c>
      <c r="B81" s="31">
        <v>7.2876446015274778</v>
      </c>
      <c r="C81" s="31">
        <v>6.4650208104135523</v>
      </c>
      <c r="D81" s="31">
        <v>5.7291967925332159</v>
      </c>
      <c r="E81" s="31">
        <v>5.0736293149997946</v>
      </c>
      <c r="F81" s="31">
        <v>4.4920315931434232</v>
      </c>
      <c r="G81" s="31">
        <v>3.978373290511017</v>
      </c>
      <c r="H81" s="31">
        <v>3.5268805188662902</v>
      </c>
      <c r="I81" s="31">
        <v>3.132035838189736</v>
      </c>
      <c r="J81" s="31">
        <v>2.7885782566786461</v>
      </c>
      <c r="K81" s="31">
        <v>2.4915032307470941</v>
      </c>
      <c r="L81" s="31">
        <v>2.2360626650259472</v>
      </c>
      <c r="M81" s="31">
        <v>2.0177649123628649</v>
      </c>
      <c r="N81" s="31">
        <v>1.832374773822302</v>
      </c>
      <c r="O81" s="31">
        <v>1.67591349868548</v>
      </c>
      <c r="P81" s="31">
        <v>1.5446587844504309</v>
      </c>
      <c r="Q81" s="31">
        <v>1.435144776831982</v>
      </c>
      <c r="R81" s="31">
        <v>1.3441620697617169</v>
      </c>
      <c r="S81" s="31">
        <v>1.2687577053880561</v>
      </c>
      <c r="T81" s="31">
        <v>1.2062351740761741</v>
      </c>
      <c r="U81" s="31">
        <v>1.154154414408034</v>
      </c>
      <c r="V81" s="31">
        <v>1.1103318131824329</v>
      </c>
      <c r="W81" s="31">
        <v>1.0728402054148909</v>
      </c>
      <c r="X81" s="31">
        <v>1.040008874337776</v>
      </c>
      <c r="Y81" s="31">
        <v>1.010423551400214</v>
      </c>
      <c r="Z81" s="31">
        <v>0.98292641626811772</v>
      </c>
      <c r="AA81" s="31">
        <v>0.95661609682423943</v>
      </c>
      <c r="AB81" s="31">
        <v>0.9308476691680313</v>
      </c>
      <c r="AC81" s="31">
        <v>0.90523265761582306</v>
      </c>
      <c r="AD81" s="31">
        <v>0.87963903470069138</v>
      </c>
      <c r="AE81" s="31">
        <v>0.85419122117249224</v>
      </c>
      <c r="AF81" s="31">
        <v>0.82927008599791951</v>
      </c>
      <c r="AG81" s="31">
        <v>0.80551294636038051</v>
      </c>
      <c r="AH81" s="32">
        <v>0.78381356766016808</v>
      </c>
    </row>
    <row r="82" spans="1:34" x14ac:dyDescent="0.25">
      <c r="A82" s="30">
        <v>70</v>
      </c>
      <c r="B82" s="31">
        <v>7.4139735949712273</v>
      </c>
      <c r="C82" s="31">
        <v>6.5773593259236289</v>
      </c>
      <c r="D82" s="31">
        <v>5.8286250912628876</v>
      </c>
      <c r="E82" s="31">
        <v>5.16118626173607</v>
      </c>
      <c r="F82" s="31">
        <v>4.5687146563070256</v>
      </c>
      <c r="G82" s="31">
        <v>4.0451385421564172</v>
      </c>
      <c r="H82" s="31">
        <v>3.5846426346816789</v>
      </c>
      <c r="I82" s="31">
        <v>3.1816680974970359</v>
      </c>
      <c r="J82" s="31">
        <v>2.830912542433512</v>
      </c>
      <c r="K82" s="31">
        <v>2.527330029538907</v>
      </c>
      <c r="L82" s="31">
        <v>2.2661310670778252</v>
      </c>
      <c r="M82" s="31">
        <v>2.042782611531647</v>
      </c>
      <c r="N82" s="31">
        <v>1.853008067598565</v>
      </c>
      <c r="O82" s="31">
        <v>1.6927872881935311</v>
      </c>
      <c r="P82" s="31">
        <v>1.558356574448305</v>
      </c>
      <c r="Q82" s="31">
        <v>1.4462086757114401</v>
      </c>
      <c r="R82" s="31">
        <v>1.3530927895482541</v>
      </c>
      <c r="S82" s="31">
        <v>1.2760145617408929</v>
      </c>
      <c r="T82" s="31">
        <v>1.212236086288272</v>
      </c>
      <c r="U82" s="31">
        <v>1.1592759054060831</v>
      </c>
      <c r="V82" s="31">
        <v>1.114909009526825</v>
      </c>
      <c r="W82" s="31">
        <v>1.077166837299796</v>
      </c>
      <c r="X82" s="31">
        <v>1.0443372755910649</v>
      </c>
      <c r="Y82" s="31">
        <v>1.014964659483478</v>
      </c>
      <c r="Z82" s="31">
        <v>0.98784977227671777</v>
      </c>
      <c r="AA82" s="31">
        <v>0.96204984548721473</v>
      </c>
      <c r="AB82" s="31">
        <v>0.93687855884818905</v>
      </c>
      <c r="AC82" s="31">
        <v>0.91190604030969513</v>
      </c>
      <c r="AD82" s="31">
        <v>0.88695886603852969</v>
      </c>
      <c r="AE82" s="31">
        <v>0.86212006041828815</v>
      </c>
      <c r="AF82" s="31">
        <v>0.83772909604938983</v>
      </c>
      <c r="AG82" s="31">
        <v>0.81438189374896897</v>
      </c>
      <c r="AH82" s="32">
        <v>0.79293082255103886</v>
      </c>
    </row>
    <row r="83" spans="1:34" x14ac:dyDescent="0.25">
      <c r="A83" s="33">
        <v>80</v>
      </c>
      <c r="B83" s="34">
        <v>7.5425947303449554</v>
      </c>
      <c r="C83" s="34">
        <v>6.6918183012255907</v>
      </c>
      <c r="D83" s="34">
        <v>5.9300088498635741</v>
      </c>
      <c r="E83" s="34">
        <v>5.250540350639695</v>
      </c>
      <c r="F83" s="34">
        <v>4.6470432261515429</v>
      </c>
      <c r="G83" s="34">
        <v>4.1134043472134998</v>
      </c>
      <c r="H83" s="34">
        <v>3.6437670328567351</v>
      </c>
      <c r="I83" s="34">
        <v>3.232531050329206</v>
      </c>
      <c r="J83" s="34">
        <v>2.874352615095662</v>
      </c>
      <c r="K83" s="34">
        <v>2.5641443908376371</v>
      </c>
      <c r="L83" s="34">
        <v>2.2970754894534582</v>
      </c>
      <c r="M83" s="34">
        <v>2.0685714710582479</v>
      </c>
      <c r="N83" s="34">
        <v>1.8743143439839209</v>
      </c>
      <c r="O83" s="34">
        <v>1.710242564779157</v>
      </c>
      <c r="P83" s="34">
        <v>1.572551038209451</v>
      </c>
      <c r="Q83" s="34">
        <v>1.4576911172570819</v>
      </c>
      <c r="R83" s="34">
        <v>1.362370603121114</v>
      </c>
      <c r="S83" s="34">
        <v>1.2835537452174011</v>
      </c>
      <c r="T83" s="34">
        <v>1.2184612411785949</v>
      </c>
      <c r="U83" s="34">
        <v>1.164570236854122</v>
      </c>
      <c r="V83" s="34">
        <v>1.1196143263102221</v>
      </c>
      <c r="W83" s="34">
        <v>1.081583551829892</v>
      </c>
      <c r="X83" s="34">
        <v>1.04872440391296</v>
      </c>
      <c r="Y83" s="34">
        <v>1.0195398212760021</v>
      </c>
      <c r="Z83" s="34">
        <v>0.99278919085239159</v>
      </c>
      <c r="AA83" s="34">
        <v>0.96748834779234383</v>
      </c>
      <c r="AB83" s="34">
        <v>0.94290957546277454</v>
      </c>
      <c r="AC83" s="34">
        <v>0.91858160544747847</v>
      </c>
      <c r="AD83" s="34">
        <v>0.89428961754699521</v>
      </c>
      <c r="AE83" s="34">
        <v>0.87007523977861867</v>
      </c>
      <c r="AF83" s="34">
        <v>0.84623654837652418</v>
      </c>
      <c r="AG83" s="34">
        <v>0.82332806779155732</v>
      </c>
      <c r="AH83" s="35">
        <v>0.8021607706915006</v>
      </c>
    </row>
    <row r="86" spans="1:34" ht="28.9" customHeight="1" x14ac:dyDescent="0.5">
      <c r="A86" s="1" t="s">
        <v>30</v>
      </c>
    </row>
    <row r="87" spans="1:34" ht="32.1" customHeight="1" x14ac:dyDescent="0.25"/>
    <row r="88" spans="1:34" x14ac:dyDescent="0.25">
      <c r="A88" s="2"/>
      <c r="B88" s="3"/>
      <c r="C88" s="3"/>
      <c r="D88" s="4"/>
    </row>
    <row r="89" spans="1:34" x14ac:dyDescent="0.25">
      <c r="A89" s="5" t="s">
        <v>31</v>
      </c>
      <c r="B89" s="6">
        <v>4</v>
      </c>
      <c r="C89" s="6" t="s">
        <v>11</v>
      </c>
      <c r="D89" s="7"/>
    </row>
    <row r="90" spans="1:34" x14ac:dyDescent="0.25">
      <c r="A90" s="8"/>
      <c r="B90" s="9"/>
      <c r="C90" s="9"/>
      <c r="D90" s="10"/>
    </row>
    <row r="93" spans="1:34" ht="48" customHeight="1" x14ac:dyDescent="0.25">
      <c r="A93" s="21" t="s">
        <v>32</v>
      </c>
      <c r="B93" s="23" t="s">
        <v>33</v>
      </c>
    </row>
    <row r="94" spans="1:34" x14ac:dyDescent="0.25">
      <c r="A94" s="5">
        <v>0</v>
      </c>
      <c r="B94" s="32">
        <v>0</v>
      </c>
    </row>
    <row r="95" spans="1:34" x14ac:dyDescent="0.25">
      <c r="A95" s="5">
        <v>0.125</v>
      </c>
      <c r="B95" s="32">
        <v>-9.4142827238551108E-2</v>
      </c>
    </row>
    <row r="96" spans="1:34" x14ac:dyDescent="0.25">
      <c r="A96" s="5">
        <v>0.25</v>
      </c>
      <c r="B96" s="32">
        <v>-0.1791095097402598</v>
      </c>
    </row>
    <row r="97" spans="1:2" x14ac:dyDescent="0.25">
      <c r="A97" s="5">
        <v>0.375</v>
      </c>
      <c r="B97" s="32">
        <v>-0.1890589400684933</v>
      </c>
    </row>
    <row r="98" spans="1:2" x14ac:dyDescent="0.25">
      <c r="A98" s="5">
        <v>0.5</v>
      </c>
      <c r="B98" s="32">
        <v>-0.2091373239436618</v>
      </c>
    </row>
    <row r="99" spans="1:2" x14ac:dyDescent="0.25">
      <c r="A99" s="5">
        <v>0.625</v>
      </c>
      <c r="B99" s="32">
        <v>0.33489571108020127</v>
      </c>
    </row>
    <row r="100" spans="1:2" x14ac:dyDescent="0.25">
      <c r="A100" s="5">
        <v>0.75</v>
      </c>
      <c r="B100" s="32">
        <v>0.5096658232473894</v>
      </c>
    </row>
    <row r="101" spans="1:2" x14ac:dyDescent="0.25">
      <c r="A101" s="5">
        <v>0.875</v>
      </c>
      <c r="B101" s="32">
        <v>0.53473921300516558</v>
      </c>
    </row>
    <row r="102" spans="1:2" x14ac:dyDescent="0.25">
      <c r="A102" s="5">
        <v>1</v>
      </c>
      <c r="B102" s="32">
        <v>0.40999027651169828</v>
      </c>
    </row>
    <row r="103" spans="1:2" x14ac:dyDescent="0.25">
      <c r="A103" s="5">
        <v>1.125</v>
      </c>
      <c r="B103" s="32">
        <v>0.76556050263729436</v>
      </c>
    </row>
    <row r="104" spans="1:2" x14ac:dyDescent="0.25">
      <c r="A104" s="5">
        <v>1.25</v>
      </c>
      <c r="B104" s="32">
        <v>0.6472258765125658</v>
      </c>
    </row>
    <row r="105" spans="1:2" x14ac:dyDescent="0.25">
      <c r="A105" s="5">
        <v>1.375</v>
      </c>
      <c r="B105" s="32">
        <v>0.52889125038783724</v>
      </c>
    </row>
    <row r="106" spans="1:2" x14ac:dyDescent="0.25">
      <c r="A106" s="5">
        <v>1.5</v>
      </c>
      <c r="B106" s="32">
        <v>0.4204735883424402</v>
      </c>
    </row>
    <row r="107" spans="1:2" x14ac:dyDescent="0.25">
      <c r="A107" s="5">
        <v>1.625</v>
      </c>
      <c r="B107" s="32">
        <v>0.42089101396478401</v>
      </c>
    </row>
    <row r="108" spans="1:2" x14ac:dyDescent="0.25">
      <c r="A108" s="5">
        <v>1.75</v>
      </c>
      <c r="B108" s="32">
        <v>0.42130843958712771</v>
      </c>
    </row>
    <row r="109" spans="1:2" x14ac:dyDescent="0.25">
      <c r="A109" s="5">
        <v>1.875</v>
      </c>
      <c r="B109" s="32">
        <v>0.42172586520947142</v>
      </c>
    </row>
    <row r="110" spans="1:2" x14ac:dyDescent="0.25">
      <c r="A110" s="5">
        <v>2</v>
      </c>
      <c r="B110" s="32">
        <v>0.42214329083181501</v>
      </c>
    </row>
    <row r="111" spans="1:2" x14ac:dyDescent="0.25">
      <c r="A111" s="5">
        <v>2.125</v>
      </c>
      <c r="B111" s="32">
        <v>0.42256071645415871</v>
      </c>
    </row>
    <row r="112" spans="1:2" x14ac:dyDescent="0.25">
      <c r="A112" s="5">
        <v>2.25</v>
      </c>
      <c r="B112" s="32">
        <v>0.42297814207650219</v>
      </c>
    </row>
    <row r="113" spans="1:2" x14ac:dyDescent="0.25">
      <c r="A113" s="5">
        <v>2.375</v>
      </c>
      <c r="B113" s="32">
        <v>0.42339556769884601</v>
      </c>
    </row>
    <row r="114" spans="1:2" x14ac:dyDescent="0.25">
      <c r="A114" s="5">
        <v>2.5</v>
      </c>
      <c r="B114" s="32">
        <v>0.42368009621166508</v>
      </c>
    </row>
    <row r="115" spans="1:2" x14ac:dyDescent="0.25">
      <c r="A115" s="5">
        <v>2.625</v>
      </c>
      <c r="B115" s="32">
        <v>0.42289085989176117</v>
      </c>
    </row>
    <row r="116" spans="1:2" x14ac:dyDescent="0.25">
      <c r="A116" s="5">
        <v>2.75</v>
      </c>
      <c r="B116" s="32">
        <v>0.42210162357185782</v>
      </c>
    </row>
    <row r="117" spans="1:2" x14ac:dyDescent="0.25">
      <c r="A117" s="5">
        <v>2.875</v>
      </c>
      <c r="B117" s="32">
        <v>0.42131238725195358</v>
      </c>
    </row>
    <row r="118" spans="1:2" x14ac:dyDescent="0.25">
      <c r="A118" s="5">
        <v>3</v>
      </c>
      <c r="B118" s="32">
        <v>0.42052315093204989</v>
      </c>
    </row>
    <row r="119" spans="1:2" x14ac:dyDescent="0.25">
      <c r="A119" s="5">
        <v>3.125</v>
      </c>
      <c r="B119" s="32">
        <v>0.41973391461214582</v>
      </c>
    </row>
    <row r="120" spans="1:2" x14ac:dyDescent="0.25">
      <c r="A120" s="5">
        <v>3.25</v>
      </c>
      <c r="B120" s="32">
        <v>0.41894467829224169</v>
      </c>
    </row>
    <row r="121" spans="1:2" x14ac:dyDescent="0.25">
      <c r="A121" s="5">
        <v>3.375</v>
      </c>
      <c r="B121" s="32">
        <v>0.41815544197233823</v>
      </c>
    </row>
    <row r="122" spans="1:2" x14ac:dyDescent="0.25">
      <c r="A122" s="5">
        <v>3.5</v>
      </c>
      <c r="B122" s="32">
        <v>0.41734632683658091</v>
      </c>
    </row>
    <row r="123" spans="1:2" x14ac:dyDescent="0.25">
      <c r="A123" s="5">
        <v>3.625</v>
      </c>
      <c r="B123" s="32">
        <v>0.41622188905547131</v>
      </c>
    </row>
    <row r="124" spans="1:2" x14ac:dyDescent="0.25">
      <c r="A124" s="5">
        <v>3.75</v>
      </c>
      <c r="B124" s="32">
        <v>0.41509745127436221</v>
      </c>
    </row>
    <row r="125" spans="1:2" x14ac:dyDescent="0.25">
      <c r="A125" s="5">
        <v>3.875</v>
      </c>
      <c r="B125" s="32">
        <v>0.41397301349325227</v>
      </c>
    </row>
    <row r="126" spans="1:2" x14ac:dyDescent="0.25">
      <c r="A126" s="8">
        <v>4</v>
      </c>
      <c r="B126" s="35">
        <v>0.41284857571214301</v>
      </c>
    </row>
  </sheetData>
  <sheetProtection algorithmName="SHA-512" hashValue="MwSVz3dSELRy38XZEGXSIDkfcdlgZSWKV+vV0DeHpqcW1277GlorXI+Be0jtq+24T1DlyQM9P/Fj2ipG5VWqLA==" saltValue="GBrdB/UirhLij/GYuPYTTw==" spinCount="100000" sheet="1" objects="1" scenarios="1"/>
  <protectedRanges>
    <protectedRange sqref="B36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P01, 0411, P59</vt:lpstr>
      <vt:lpstr>E40</vt:lpstr>
      <vt:lpstr>P04</vt:lpstr>
      <vt:lpstr>P05</vt:lpstr>
      <vt:lpstr>P12</vt:lpstr>
      <vt:lpstr>E37, E38 (&lt;2009)</vt:lpstr>
      <vt:lpstr>E38 (2009+), E67, E78</vt:lpstr>
      <vt:lpstr>Generic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2022-05-18T03:37:55Z</dcterms:created>
  <dcterms:modified xsi:type="dcterms:W3CDTF">2022-05-23T00:03:50Z</dcterms:modified>
</cp:coreProperties>
</file>