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L:\8- Product Managers\Injectors Online\Tuning Data Locked\HP1250S\"/>
    </mc:Choice>
  </mc:AlternateContent>
  <xr:revisionPtr revIDLastSave="0" documentId="8_{4E87C528-CC75-487B-867C-FC17A084BE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ubaru COBB Accesspor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7" i="1" l="1"/>
  <c r="B71" i="1"/>
  <c r="B68" i="1"/>
  <c r="B75" i="1" s="1"/>
  <c r="B76" i="1" s="1"/>
  <c r="J51" i="1"/>
  <c r="F60" i="1" s="1"/>
  <c r="I51" i="1"/>
  <c r="F56" i="1" s="1"/>
  <c r="H51" i="1"/>
  <c r="E60" i="1" s="1"/>
  <c r="G51" i="1"/>
  <c r="D56" i="1" s="1"/>
  <c r="F51" i="1"/>
  <c r="D60" i="1" s="1"/>
  <c r="E51" i="1"/>
  <c r="C56" i="1" s="1"/>
  <c r="D51" i="1"/>
  <c r="C60" i="1" s="1"/>
  <c r="C51" i="1"/>
  <c r="B56" i="1" s="1"/>
  <c r="B51" i="1"/>
  <c r="B60" i="1" s="1"/>
  <c r="G29" i="1"/>
  <c r="G28" i="1"/>
  <c r="F81" i="1" l="1"/>
  <c r="E81" i="1"/>
  <c r="D81" i="1"/>
  <c r="I81" i="1"/>
  <c r="C81" i="1"/>
  <c r="B63" i="1" s="1"/>
  <c r="H81" i="1"/>
  <c r="B81" i="1"/>
  <c r="G81" i="1"/>
  <c r="E56" i="1"/>
</calcChain>
</file>

<file path=xl/sharedStrings.xml><?xml version="1.0" encoding="utf-8"?>
<sst xmlns="http://schemas.openxmlformats.org/spreadsheetml/2006/main" count="48" uniqueCount="42">
  <si>
    <t>HP1250S Subaru COBB Accessport</t>
  </si>
  <si>
    <t>Injector Type:</t>
  </si>
  <si>
    <t>HP1250S</t>
  </si>
  <si>
    <t>Matched Set:</t>
  </si>
  <si>
    <t>None selected</t>
  </si>
  <si>
    <t>Report Date:</t>
  </si>
  <si>
    <t>24/10/2022</t>
  </si>
  <si>
    <t>(c) Injectors Online Pty Ltd ATF Injectors Online Trust 2020</t>
  </si>
  <si>
    <t>Reference Voltage:</t>
  </si>
  <si>
    <t>V</t>
  </si>
  <si>
    <t>Fuel Pressure [psi]</t>
  </si>
  <si>
    <t>Edit to update. Range: 29 to 102</t>
  </si>
  <si>
    <t>Ethanol Content [%]</t>
  </si>
  <si>
    <t>Edit to update. Range: 0 to 100</t>
  </si>
  <si>
    <t>Fuel Injector Trim</t>
  </si>
  <si>
    <t>Injector Pulse Width [ms]</t>
  </si>
  <si>
    <t>Pulse Width Adder [%]</t>
  </si>
  <si>
    <t>Minimum Small IPW [ms]</t>
  </si>
  <si>
    <t>Maximum Small IPW [ms]</t>
  </si>
  <si>
    <t>Maximum RPM, Small IPW [RPM]</t>
  </si>
  <si>
    <t>Voltage [V]</t>
  </si>
  <si>
    <t>Pressure [psi]</t>
  </si>
  <si>
    <t>Offset [ms]</t>
  </si>
  <si>
    <t>Injector Offsets (All 2.5L and 2.0L SD)</t>
  </si>
  <si>
    <t>Injector Offsets (2.0L MAF)</t>
  </si>
  <si>
    <t>Fuel Injector Scale</t>
  </si>
  <si>
    <t>Calculation Tables</t>
  </si>
  <si>
    <t>Stoich AFR (gasoline)</t>
  </si>
  <si>
    <t>Stoich AFR (ethanol)</t>
  </si>
  <si>
    <t>Stoich AFR (mixture)</t>
  </si>
  <si>
    <t>Density, gasoline [g/cc]</t>
  </si>
  <si>
    <t>Density, ethanol, [g/cc]</t>
  </si>
  <si>
    <t>Density, mixture [g/cc]</t>
  </si>
  <si>
    <t>kPa per psi [kPa/psi]</t>
  </si>
  <si>
    <t>Microseconds per minute [us/min]</t>
  </si>
  <si>
    <t>Stoichiometric load [g/rev]</t>
  </si>
  <si>
    <t>Fuel mass per rev [g/rev]</t>
  </si>
  <si>
    <t>Fuel Mass for Stoich [g]</t>
  </si>
  <si>
    <t>Fuel Pressure [kPa]</t>
  </si>
  <si>
    <t>Flow Rate [cc/min]</t>
  </si>
  <si>
    <t>Scale Factor [ms]</t>
  </si>
  <si>
    <t>Fuel Injector Scale [ms]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</si>
</sst>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0.###"/>
    <numFmt numFmtId="166" formatCode="0."/>
    <numFmt numFmtId="167" formatCode="0.0"/>
    <numFmt numFmtId="168" formatCode="0.0000"/>
  </numFmts>
  <fonts count="3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FF9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164" fontId="2" fillId="2" borderId="1" xfId="0" applyNumberFormat="1" applyFont="1" applyFill="1" applyBorder="1"/>
    <xf numFmtId="164" fontId="0" fillId="3" borderId="2" xfId="0" applyNumberFormat="1" applyFill="1" applyBorder="1"/>
    <xf numFmtId="164" fontId="0" fillId="3" borderId="3" xfId="0" applyNumberFormat="1" applyFill="1" applyBorder="1"/>
    <xf numFmtId="164" fontId="2" fillId="2" borderId="4" xfId="0" applyNumberFormat="1" applyFont="1" applyFill="1" applyBorder="1"/>
    <xf numFmtId="164" fontId="0" fillId="3" borderId="0" xfId="0" applyNumberFormat="1" applyFill="1"/>
    <xf numFmtId="164" fontId="0" fillId="3" borderId="5" xfId="0" applyNumberFormat="1" applyFill="1" applyBorder="1"/>
    <xf numFmtId="164" fontId="2" fillId="2" borderId="6" xfId="0" applyNumberFormat="1" applyFont="1" applyFill="1" applyBorder="1"/>
    <xf numFmtId="164" fontId="0" fillId="3" borderId="7" xfId="0" applyNumberFormat="1" applyFill="1" applyBorder="1"/>
    <xf numFmtId="164" fontId="0" fillId="3" borderId="8" xfId="0" applyNumberFormat="1" applyFill="1" applyBorder="1"/>
    <xf numFmtId="1" fontId="0" fillId="3" borderId="2" xfId="0" applyNumberFormat="1" applyFill="1" applyBorder="1"/>
    <xf numFmtId="1" fontId="0" fillId="3" borderId="3" xfId="0" applyNumberFormat="1" applyFill="1" applyBorder="1"/>
    <xf numFmtId="1" fontId="0" fillId="3" borderId="0" xfId="0" applyNumberFormat="1" applyFill="1"/>
    <xf numFmtId="1" fontId="0" fillId="3" borderId="5" xfId="0" applyNumberFormat="1" applyFill="1" applyBorder="1"/>
    <xf numFmtId="1" fontId="0" fillId="3" borderId="7" xfId="0" applyNumberFormat="1" applyFill="1" applyBorder="1"/>
    <xf numFmtId="1" fontId="0" fillId="3" borderId="8" xfId="0" applyNumberFormat="1" applyFill="1" applyBorder="1"/>
    <xf numFmtId="165" fontId="2" fillId="4" borderId="9" xfId="0" applyNumberFormat="1" applyFont="1" applyFill="1" applyBorder="1"/>
    <xf numFmtId="164" fontId="2" fillId="2" borderId="10" xfId="0" applyNumberFormat="1" applyFont="1" applyFill="1" applyBorder="1"/>
    <xf numFmtId="164" fontId="2" fillId="2" borderId="11" xfId="0" applyNumberFormat="1" applyFont="1" applyFill="1" applyBorder="1"/>
    <xf numFmtId="164" fontId="2" fillId="2" borderId="12" xfId="0" applyNumberFormat="1" applyFont="1" applyFill="1" applyBorder="1"/>
    <xf numFmtId="167" fontId="0" fillId="3" borderId="7" xfId="0" applyNumberFormat="1" applyFill="1" applyBorder="1"/>
    <xf numFmtId="167" fontId="0" fillId="3" borderId="8" xfId="0" applyNumberFormat="1" applyFill="1" applyBorder="1"/>
    <xf numFmtId="164" fontId="2" fillId="2" borderId="13" xfId="0" applyNumberFormat="1" applyFont="1" applyFill="1" applyBorder="1"/>
    <xf numFmtId="164" fontId="0" fillId="3" borderId="14" xfId="0" applyNumberFormat="1" applyFill="1" applyBorder="1"/>
    <xf numFmtId="167" fontId="0" fillId="3" borderId="14" xfId="0" applyNumberFormat="1" applyFill="1" applyBorder="1"/>
    <xf numFmtId="1" fontId="0" fillId="3" borderId="14" xfId="0" applyNumberFormat="1" applyFill="1" applyBorder="1"/>
    <xf numFmtId="167" fontId="2" fillId="2" borderId="1" xfId="0" applyNumberFormat="1" applyFont="1" applyFill="1" applyBorder="1"/>
    <xf numFmtId="167" fontId="2" fillId="2" borderId="2" xfId="0" applyNumberFormat="1" applyFont="1" applyFill="1" applyBorder="1"/>
    <xf numFmtId="167" fontId="2" fillId="2" borderId="3" xfId="0" applyNumberFormat="1" applyFont="1" applyFill="1" applyBorder="1"/>
    <xf numFmtId="167" fontId="2" fillId="2" borderId="15" xfId="0" applyNumberFormat="1" applyFont="1" applyFill="1" applyBorder="1"/>
    <xf numFmtId="167" fontId="2" fillId="2" borderId="16" xfId="0" applyNumberFormat="1" applyFont="1" applyFill="1" applyBorder="1"/>
    <xf numFmtId="167" fontId="2" fillId="2" borderId="17" xfId="0" applyNumberFormat="1" applyFont="1" applyFill="1" applyBorder="1"/>
    <xf numFmtId="167" fontId="2" fillId="2" borderId="4" xfId="0" applyNumberFormat="1" applyFont="1" applyFill="1" applyBorder="1"/>
    <xf numFmtId="168" fontId="0" fillId="3" borderId="0" xfId="0" applyNumberFormat="1" applyFill="1"/>
    <xf numFmtId="168" fontId="0" fillId="3" borderId="5" xfId="0" applyNumberFormat="1" applyFill="1" applyBorder="1"/>
    <xf numFmtId="167" fontId="2" fillId="2" borderId="6" xfId="0" applyNumberFormat="1" applyFont="1" applyFill="1" applyBorder="1"/>
    <xf numFmtId="168" fontId="0" fillId="3" borderId="7" xfId="0" applyNumberFormat="1" applyFill="1" applyBorder="1"/>
    <xf numFmtId="168" fontId="0" fillId="3" borderId="8" xfId="0" applyNumberFormat="1" applyFill="1" applyBorder="1"/>
    <xf numFmtId="167" fontId="2" fillId="2" borderId="10" xfId="0" applyNumberFormat="1" applyFont="1" applyFill="1" applyBorder="1"/>
    <xf numFmtId="167" fontId="2" fillId="2" borderId="11" xfId="0" applyNumberFormat="1" applyFont="1" applyFill="1" applyBorder="1"/>
    <xf numFmtId="167" fontId="2" fillId="2" borderId="12" xfId="0" applyNumberFormat="1" applyFont="1" applyFill="1" applyBorder="1"/>
    <xf numFmtId="1" fontId="2" fillId="2" borderId="1" xfId="0" applyNumberFormat="1" applyFont="1" applyFill="1" applyBorder="1"/>
    <xf numFmtId="1" fontId="2" fillId="2" borderId="2" xfId="0" applyNumberFormat="1" applyFont="1" applyFill="1" applyBorder="1"/>
    <xf numFmtId="1" fontId="2" fillId="2" borderId="3" xfId="0" applyNumberFormat="1" applyFont="1" applyFill="1" applyBorder="1"/>
    <xf numFmtId="1" fontId="2" fillId="2" borderId="15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167" fontId="0" fillId="3" borderId="0" xfId="0" applyNumberFormat="1" applyFill="1"/>
    <xf numFmtId="167" fontId="0" fillId="3" borderId="5" xfId="0" applyNumberFormat="1" applyFill="1" applyBorder="1"/>
    <xf numFmtId="166" fontId="2" fillId="4" borderId="9" xfId="0" applyNumberFormat="1" applyFont="1" applyFill="1" applyBorder="1" applyProtection="1">
      <protection locked="0"/>
    </xf>
    <xf numFmtId="165" fontId="2" fillId="4" borderId="9" xfId="0" applyNumberFormat="1" applyFont="1" applyFill="1" applyBorder="1" applyProtection="1">
      <protection locked="0"/>
    </xf>
  </cellXfs>
  <cellStyles count="1">
    <cellStyle name="Normal" xfId="0" builtinId="0"/>
  </cellStyles>
  <dxfs count="2">
    <dxf>
      <font>
        <b/>
        <color rgb="FF9C0006"/>
      </font>
    </dxf>
    <dxf>
      <font>
        <b/>
        <color rgb="FF9C0006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D34DBC6-B625-48D8-AECC-D69A956604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5:J82"/>
  <sheetViews>
    <sheetView tabSelected="1" workbookViewId="0">
      <selection activeCell="B13" sqref="B13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0</v>
      </c>
      <c r="B15" s="1"/>
    </row>
    <row r="16" spans="1:4" x14ac:dyDescent="0.25">
      <c r="A16" s="2"/>
      <c r="B16" s="3"/>
      <c r="C16" s="3"/>
      <c r="D16" s="4"/>
    </row>
    <row r="17" spans="1:9" x14ac:dyDescent="0.25">
      <c r="A17" s="5" t="s">
        <v>1</v>
      </c>
      <c r="B17" s="6" t="s">
        <v>2</v>
      </c>
      <c r="C17" s="6"/>
      <c r="D17" s="7"/>
    </row>
    <row r="18" spans="1:9" x14ac:dyDescent="0.25">
      <c r="A18" s="5" t="s">
        <v>3</v>
      </c>
      <c r="B18" s="6" t="s">
        <v>4</v>
      </c>
      <c r="C18" s="6"/>
      <c r="D18" s="7"/>
    </row>
    <row r="19" spans="1:9" x14ac:dyDescent="0.25">
      <c r="A19" s="5" t="s">
        <v>5</v>
      </c>
      <c r="B19" s="6" t="s">
        <v>6</v>
      </c>
      <c r="C19" s="6"/>
      <c r="D19" s="7"/>
    </row>
    <row r="20" spans="1:9" x14ac:dyDescent="0.25">
      <c r="A20" s="8"/>
      <c r="B20" s="9"/>
      <c r="C20" s="9"/>
      <c r="D20" s="10"/>
    </row>
    <row r="21" spans="1:9" x14ac:dyDescent="0.25">
      <c r="A21" t="s">
        <v>7</v>
      </c>
    </row>
    <row r="23" spans="1:9" x14ac:dyDescent="0.25">
      <c r="A23" s="2"/>
      <c r="B23" s="11"/>
      <c r="C23" s="11"/>
      <c r="D23" s="12"/>
    </row>
    <row r="24" spans="1:9" x14ac:dyDescent="0.25">
      <c r="A24" s="5" t="s">
        <v>8</v>
      </c>
      <c r="B24" s="13">
        <v>14</v>
      </c>
      <c r="C24" s="13" t="s">
        <v>9</v>
      </c>
      <c r="D24" s="14"/>
    </row>
    <row r="25" spans="1:9" x14ac:dyDescent="0.25">
      <c r="A25" s="8"/>
      <c r="B25" s="15"/>
      <c r="C25" s="15"/>
      <c r="D25" s="16"/>
    </row>
    <row r="28" spans="1:9" x14ac:dyDescent="0.25">
      <c r="A28" s="17" t="s">
        <v>10</v>
      </c>
      <c r="B28" s="50">
        <v>43.5</v>
      </c>
      <c r="C28" s="17" t="s">
        <v>11</v>
      </c>
      <c r="D28" s="17"/>
      <c r="E28" s="17"/>
      <c r="F28" s="17"/>
      <c r="G28" t="str">
        <f>IF(AND($B$28&gt;=29, $B$28&lt;=101.5), "", "Invalid value! Calculated values below may not be valid for this value.")</f>
        <v/>
      </c>
    </row>
    <row r="29" spans="1:9" x14ac:dyDescent="0.25">
      <c r="A29" s="17" t="s">
        <v>12</v>
      </c>
      <c r="B29" s="51">
        <v>10</v>
      </c>
      <c r="C29" s="17" t="s">
        <v>13</v>
      </c>
      <c r="D29" s="17"/>
      <c r="E29" s="17"/>
      <c r="F29" s="17"/>
      <c r="G29" t="str">
        <f>IF(AND($B$29&gt;=0, $B$29&lt;=100), "", "Invalid value! Calculated values below may not be valid for this value.")</f>
        <v/>
      </c>
    </row>
    <row r="31" spans="1:9" ht="28.9" customHeight="1" x14ac:dyDescent="0.5">
      <c r="A31" s="1" t="s">
        <v>14</v>
      </c>
      <c r="B31" s="1"/>
    </row>
    <row r="32" spans="1:9" x14ac:dyDescent="0.25">
      <c r="A32" s="18" t="s">
        <v>15</v>
      </c>
      <c r="B32" s="19">
        <v>6.899999999999995E-2</v>
      </c>
      <c r="C32" s="19">
        <v>0.1047771707893678</v>
      </c>
      <c r="D32" s="19">
        <v>0.15910515244383119</v>
      </c>
      <c r="E32" s="19">
        <v>0.24160272074022779</v>
      </c>
      <c r="F32" s="19">
        <v>0.36687608020543189</v>
      </c>
      <c r="G32" s="19">
        <v>0.55710489440896194</v>
      </c>
      <c r="H32" s="19">
        <v>0.8459691981026165</v>
      </c>
      <c r="I32" s="20">
        <v>1.2846124514803261</v>
      </c>
    </row>
    <row r="33" spans="1:10" x14ac:dyDescent="0.25">
      <c r="A33" s="8" t="s">
        <v>16</v>
      </c>
      <c r="B33" s="21">
        <v>53.153260869565138</v>
      </c>
      <c r="C33" s="21">
        <v>21.65333210886752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2">
        <v>0</v>
      </c>
    </row>
    <row r="35" spans="1:10" x14ac:dyDescent="0.25">
      <c r="A35" s="23" t="s">
        <v>17</v>
      </c>
      <c r="B35" s="24">
        <v>6.899999999999995E-2</v>
      </c>
    </row>
    <row r="37" spans="1:10" x14ac:dyDescent="0.25">
      <c r="A37" s="23" t="s">
        <v>18</v>
      </c>
      <c r="B37" s="25">
        <v>1.2846124514803261</v>
      </c>
    </row>
    <row r="39" spans="1:10" x14ac:dyDescent="0.25">
      <c r="A39" s="23" t="s">
        <v>19</v>
      </c>
      <c r="B39" s="26">
        <v>10000</v>
      </c>
    </row>
    <row r="41" spans="1:10" hidden="1" x14ac:dyDescent="0.25">
      <c r="A41" s="27"/>
      <c r="B41" s="28" t="s">
        <v>20</v>
      </c>
      <c r="C41" s="28"/>
      <c r="D41" s="28"/>
      <c r="E41" s="28"/>
      <c r="F41" s="28"/>
      <c r="G41" s="28"/>
      <c r="H41" s="28"/>
      <c r="I41" s="28"/>
      <c r="J41" s="29"/>
    </row>
    <row r="42" spans="1:10" hidden="1" x14ac:dyDescent="0.25">
      <c r="A42" s="30" t="s">
        <v>21</v>
      </c>
      <c r="B42" s="31">
        <v>6.5</v>
      </c>
      <c r="C42" s="31">
        <v>8</v>
      </c>
      <c r="D42" s="31">
        <v>9</v>
      </c>
      <c r="E42" s="31">
        <v>10</v>
      </c>
      <c r="F42" s="31">
        <v>11.5</v>
      </c>
      <c r="G42" s="31">
        <v>12</v>
      </c>
      <c r="H42" s="31">
        <v>14</v>
      </c>
      <c r="I42" s="31">
        <v>16</v>
      </c>
      <c r="J42" s="32">
        <v>16.5</v>
      </c>
    </row>
    <row r="43" spans="1:10" hidden="1" x14ac:dyDescent="0.25">
      <c r="A43" s="33">
        <v>29.007999999999999</v>
      </c>
      <c r="B43" s="34">
        <v>2.9025547322455889</v>
      </c>
      <c r="C43" s="34">
        <v>2.2526080215176911</v>
      </c>
      <c r="D43" s="34">
        <v>1.936434737958846</v>
      </c>
      <c r="E43" s="34">
        <v>1.688033066480026</v>
      </c>
      <c r="F43" s="34">
        <v>1.405631165090246</v>
      </c>
      <c r="G43" s="34">
        <v>1.329270443685121</v>
      </c>
      <c r="H43" s="34">
        <v>1.0887208431926829</v>
      </c>
      <c r="I43" s="34">
        <v>0.94750323060542563</v>
      </c>
      <c r="J43" s="35">
        <v>0.93204982921895407</v>
      </c>
    </row>
    <row r="44" spans="1:10" hidden="1" x14ac:dyDescent="0.25">
      <c r="A44" s="33">
        <v>43.512</v>
      </c>
      <c r="B44" s="34">
        <v>3.3156569482292451</v>
      </c>
      <c r="C44" s="34">
        <v>2.464876063240097</v>
      </c>
      <c r="D44" s="34">
        <v>2.0684918557692762</v>
      </c>
      <c r="E44" s="34">
        <v>1.773397724303956</v>
      </c>
      <c r="F44" s="34">
        <v>1.4661335842616721</v>
      </c>
      <c r="G44" s="34">
        <v>1.3894934937092429</v>
      </c>
      <c r="H44" s="34">
        <v>1.160939902309196</v>
      </c>
      <c r="I44" s="34">
        <v>1.004231756500072</v>
      </c>
      <c r="J44" s="35">
        <v>0.97303780591452949</v>
      </c>
    </row>
    <row r="45" spans="1:10" hidden="1" x14ac:dyDescent="0.25">
      <c r="A45" s="33">
        <v>58.015999999999998</v>
      </c>
      <c r="B45" s="34">
        <v>3.9024247068936671</v>
      </c>
      <c r="C45" s="34">
        <v>2.7919301461166168</v>
      </c>
      <c r="D45" s="34">
        <v>2.2830065889543261</v>
      </c>
      <c r="E45" s="34">
        <v>1.914431231913633</v>
      </c>
      <c r="F45" s="34">
        <v>1.552508567692948</v>
      </c>
      <c r="G45" s="34">
        <v>1.468426842913223</v>
      </c>
      <c r="H45" s="34">
        <v>1.2370693507621631</v>
      </c>
      <c r="I45" s="34">
        <v>1.072229402650239</v>
      </c>
      <c r="J45" s="35">
        <v>1.030596873214517</v>
      </c>
    </row>
    <row r="46" spans="1:10" hidden="1" x14ac:dyDescent="0.25">
      <c r="A46" s="33">
        <v>72.52</v>
      </c>
      <c r="B46" s="34">
        <v>4.6343096008482387</v>
      </c>
      <c r="C46" s="34">
        <v>3.2046288627811701</v>
      </c>
      <c r="D46" s="34">
        <v>2.5504421968309372</v>
      </c>
      <c r="E46" s="34">
        <v>2.0812015153090129</v>
      </c>
      <c r="F46" s="34">
        <v>1.634231041408567</v>
      </c>
      <c r="G46" s="34">
        <v>1.5353477506630679</v>
      </c>
      <c r="H46" s="34">
        <v>1.2855957812836261</v>
      </c>
      <c r="I46" s="34">
        <v>1.11919209515402</v>
      </c>
      <c r="J46" s="35">
        <v>1.0722252905585281</v>
      </c>
    </row>
    <row r="47" spans="1:10" hidden="1" x14ac:dyDescent="0.25">
      <c r="A47" s="33">
        <v>87.024000000000001</v>
      </c>
      <c r="B47" s="34">
        <v>5.5702372951058843</v>
      </c>
      <c r="C47" s="34">
        <v>3.7613048782712162</v>
      </c>
      <c r="D47" s="34">
        <v>2.9287360111195939</v>
      </c>
      <c r="E47" s="34">
        <v>2.331250572893619</v>
      </c>
      <c r="F47" s="34">
        <v>1.7682500038365681</v>
      </c>
      <c r="G47" s="34">
        <v>1.647007548728328</v>
      </c>
      <c r="H47" s="34">
        <v>1.362479859009196</v>
      </c>
      <c r="I47" s="34">
        <v>1.2002898325130611</v>
      </c>
      <c r="J47" s="35">
        <v>1.152895389789752</v>
      </c>
    </row>
    <row r="48" spans="1:10" hidden="1" x14ac:dyDescent="0.25">
      <c r="A48" s="36">
        <v>101.52800000000001</v>
      </c>
      <c r="B48" s="37">
        <v>6.8566075270831037</v>
      </c>
      <c r="C48" s="37">
        <v>4.6077649300277734</v>
      </c>
      <c r="D48" s="37">
        <v>3.5632994359443351</v>
      </c>
      <c r="E48" s="37">
        <v>2.8095944754744919</v>
      </c>
      <c r="F48" s="37">
        <v>2.0989885258085601</v>
      </c>
      <c r="G48" s="37">
        <v>1.947631641282114</v>
      </c>
      <c r="H48" s="37">
        <v>1.6111563214780069</v>
      </c>
      <c r="I48" s="37">
        <v>1.4581666856325339</v>
      </c>
      <c r="J48" s="38">
        <v>1.4150535751548361</v>
      </c>
    </row>
    <row r="49" spans="1:10" hidden="1" x14ac:dyDescent="0.25"/>
    <row r="50" spans="1:10" hidden="1" x14ac:dyDescent="0.25">
      <c r="A50" s="18" t="s">
        <v>20</v>
      </c>
      <c r="B50" s="19">
        <v>6.5</v>
      </c>
      <c r="C50" s="19">
        <v>8</v>
      </c>
      <c r="D50" s="19">
        <v>9</v>
      </c>
      <c r="E50" s="19">
        <v>10</v>
      </c>
      <c r="F50" s="19">
        <v>11.5</v>
      </c>
      <c r="G50" s="19">
        <v>12</v>
      </c>
      <c r="H50" s="19">
        <v>14</v>
      </c>
      <c r="I50" s="19">
        <v>16</v>
      </c>
      <c r="J50" s="20">
        <v>16.5</v>
      </c>
    </row>
    <row r="51" spans="1:10" hidden="1" x14ac:dyDescent="0.25">
      <c r="A51" s="8" t="s">
        <v>22</v>
      </c>
      <c r="B51" s="9">
        <f ca="1">FORECAST(
            $B$28,
            OFFSET($B$43:$B$48,MATCH($B$28,$A$43:$A$48,1)-1,0,2),
            OFFSET($A$43:$A$48,MATCH($B$28,$A$43:$A$48,1)-1,0,2)
        )</f>
        <v>3.3153151648183377</v>
      </c>
      <c r="C51" s="9">
        <f ca="1">FORECAST(
            $B$28,
            OFFSET($C$43:$C$48,MATCH($B$28,$A$43:$A$48,1)-1,0,2),
            OFFSET($A$43:$A$48,MATCH($B$28,$A$43:$A$48,1)-1,0,2)
        )</f>
        <v>2.4647004415839557</v>
      </c>
      <c r="D51" s="9">
        <f ca="1">FORECAST(
            $B$28,
            OFFSET($D$43:$D$48,MATCH($B$28,$A$43:$A$48,1)-1,0,2),
            OFFSET($A$43:$A$48,MATCH($B$28,$A$43:$A$48,1)-1,0,2)
        )</f>
        <v>2.068382597260332</v>
      </c>
      <c r="E51" s="9">
        <f ca="1">FORECAST(
            $B$28,
            OFFSET($E$43:$E$48,MATCH($B$28,$A$43:$A$48,1)-1,0,2),
            OFFSET($A$43:$A$48,MATCH($B$28,$A$43:$A$48,1)-1,0,2)
        )</f>
        <v>1.7733270971739308</v>
      </c>
      <c r="F51" s="9">
        <f ca="1">FORECAST(
            $B$28,
            OFFSET($F$43:$F$48,MATCH($B$28,$A$43:$A$48,1)-1,0,2),
            OFFSET($A$43:$A$48,MATCH($B$28,$A$43:$A$48,1)-1,0,2)
        )</f>
        <v>1.4660835271029533</v>
      </c>
      <c r="G51" s="9">
        <f ca="1">FORECAST(
            $B$28,
            OFFSET($G$43:$G$48,MATCH($B$28,$A$43:$A$48,1)-1,0,2),
            OFFSET($A$43:$A$48,MATCH($B$28,$A$43:$A$48,1)-1,0,2)
        )</f>
        <v>1.3894436676888147</v>
      </c>
      <c r="H51" s="9">
        <f ca="1">FORECAST(
            $B$28,
            OFFSET($H$43:$H$48,MATCH($B$28,$A$43:$A$48,1)-1,0,2),
            OFFSET($A$43:$A$48,MATCH($B$28,$A$43:$A$48,1)-1,0,2)
        )</f>
        <v>1.1608801512950344</v>
      </c>
      <c r="I51" s="9">
        <f ca="1">FORECAST(
            $B$28,
            OFFSET($I$43:$I$48,MATCH($B$28,$A$43:$A$48,1)-1,0,2),
            OFFSET($A$43:$A$48,MATCH($B$28,$A$43:$A$48,1)-1,0,2)
        )</f>
        <v>1.0041848217020344</v>
      </c>
      <c r="J51" s="10">
        <f ca="1">FORECAST(
            $B$28,
            OFFSET($J$43:$J$48,MATCH($B$28,$A$43:$A$48,1)-1,0,2),
            OFFSET($A$43:$A$48,MATCH($B$28,$A$43:$A$48,1)-1,0,2)
        )</f>
        <v>0.9730038941853274</v>
      </c>
    </row>
    <row r="52" spans="1:10" hidden="1" x14ac:dyDescent="0.25"/>
    <row r="53" spans="1:10" hidden="1" x14ac:dyDescent="0.25"/>
    <row r="54" spans="1:10" ht="28.9" customHeight="1" x14ac:dyDescent="0.5">
      <c r="A54" s="1" t="s">
        <v>23</v>
      </c>
    </row>
    <row r="55" spans="1:10" x14ac:dyDescent="0.25">
      <c r="A55" s="39" t="s">
        <v>20</v>
      </c>
      <c r="B55" s="40">
        <v>8</v>
      </c>
      <c r="C55" s="40">
        <v>10</v>
      </c>
      <c r="D55" s="40">
        <v>12</v>
      </c>
      <c r="E55" s="40">
        <v>14</v>
      </c>
      <c r="F55" s="41">
        <v>16</v>
      </c>
    </row>
    <row r="56" spans="1:10" x14ac:dyDescent="0.25">
      <c r="A56" s="36" t="s">
        <v>22</v>
      </c>
      <c r="B56" s="37">
        <f ca="1">$C$51</f>
        <v>2.4647004415839557</v>
      </c>
      <c r="C56" s="37">
        <f ca="1">$E$51</f>
        <v>1.7733270971739308</v>
      </c>
      <c r="D56" s="37">
        <f ca="1">$G$51</f>
        <v>1.3894436676888147</v>
      </c>
      <c r="E56" s="37">
        <f ca="1">$H$51</f>
        <v>1.1608801512950344</v>
      </c>
      <c r="F56" s="38">
        <f ca="1">$I$51</f>
        <v>1.0041848217020344</v>
      </c>
    </row>
    <row r="58" spans="1:10" ht="28.9" customHeight="1" x14ac:dyDescent="0.5">
      <c r="A58" s="1" t="s">
        <v>24</v>
      </c>
    </row>
    <row r="59" spans="1:10" x14ac:dyDescent="0.25">
      <c r="A59" s="39" t="s">
        <v>20</v>
      </c>
      <c r="B59" s="40">
        <v>6.5</v>
      </c>
      <c r="C59" s="40">
        <v>9</v>
      </c>
      <c r="D59" s="40">
        <v>11.5</v>
      </c>
      <c r="E59" s="40">
        <v>14</v>
      </c>
      <c r="F59" s="41">
        <v>16.5</v>
      </c>
    </row>
    <row r="60" spans="1:10" x14ac:dyDescent="0.25">
      <c r="A60" s="36" t="s">
        <v>22</v>
      </c>
      <c r="B60" s="37">
        <f ca="1">$B$51</f>
        <v>3.3153151648183377</v>
      </c>
      <c r="C60" s="37">
        <f ca="1">$D$51</f>
        <v>2.068382597260332</v>
      </c>
      <c r="D60" s="37">
        <f ca="1">$F$51</f>
        <v>1.4660835271029533</v>
      </c>
      <c r="E60" s="37">
        <f ca="1">$H$51</f>
        <v>1.1608801512950344</v>
      </c>
      <c r="F60" s="38">
        <f ca="1">$J$51</f>
        <v>0.9730038941853274</v>
      </c>
    </row>
    <row r="62" spans="1:10" ht="28.9" customHeight="1" x14ac:dyDescent="0.5">
      <c r="A62" s="1" t="s">
        <v>25</v>
      </c>
    </row>
    <row r="63" spans="1:10" x14ac:dyDescent="0.25">
      <c r="A63" s="23" t="s">
        <v>41</v>
      </c>
      <c r="B63" s="26">
        <f>_xlfn.FORECAST.LINEAR($B$77,   INDEX($B$81:$I$81,MATCH($B$77,$B$79:$I$79,1)):INDEX($B$81:$I$81,MATCH($B$77,$B$79:$I$79,1)+1),   INDEX($B$79:$I$79,MATCH($B$77,$B$79:$I$79,1)):INDEX($B$79:$I$79,MATCH($B$77,$B$79:$I$79,1)+1))</f>
        <v>2414.160011432853</v>
      </c>
    </row>
    <row r="65" spans="1:9" ht="31.5" hidden="1" x14ac:dyDescent="0.5">
      <c r="A65" s="1" t="s">
        <v>26</v>
      </c>
    </row>
    <row r="66" spans="1:9" hidden="1" x14ac:dyDescent="0.25">
      <c r="A66" t="s">
        <v>27</v>
      </c>
      <c r="B66">
        <v>14.7</v>
      </c>
    </row>
    <row r="67" spans="1:9" hidden="1" x14ac:dyDescent="0.25">
      <c r="A67" t="s">
        <v>28</v>
      </c>
      <c r="B67">
        <v>9.0079999999999991</v>
      </c>
    </row>
    <row r="68" spans="1:9" hidden="1" x14ac:dyDescent="0.25">
      <c r="A68" t="s">
        <v>29</v>
      </c>
      <c r="B68">
        <f>($B$29/100) * $B$67 + ((100-$B$29)/100) * $B$66</f>
        <v>14.130800000000001</v>
      </c>
    </row>
    <row r="69" spans="1:9" hidden="1" x14ac:dyDescent="0.25">
      <c r="A69" t="s">
        <v>30</v>
      </c>
      <c r="B69">
        <v>0.73</v>
      </c>
    </row>
    <row r="70" spans="1:9" hidden="1" x14ac:dyDescent="0.25">
      <c r="A70" t="s">
        <v>31</v>
      </c>
      <c r="B70">
        <v>0.79</v>
      </c>
    </row>
    <row r="71" spans="1:9" hidden="1" x14ac:dyDescent="0.25">
      <c r="A71" t="s">
        <v>32</v>
      </c>
      <c r="B71">
        <f>($B$29/100) * $B$70 + ((100-$B$29)/100) * $B$69</f>
        <v>0.73599999999999999</v>
      </c>
    </row>
    <row r="72" spans="1:9" hidden="1" x14ac:dyDescent="0.25">
      <c r="A72" t="s">
        <v>33</v>
      </c>
      <c r="B72">
        <v>6.8947599999999998</v>
      </c>
    </row>
    <row r="73" spans="1:9" hidden="1" x14ac:dyDescent="0.25">
      <c r="A73" t="s">
        <v>34</v>
      </c>
      <c r="B73">
        <v>60000000</v>
      </c>
    </row>
    <row r="74" spans="1:9" hidden="1" x14ac:dyDescent="0.25">
      <c r="A74" t="s">
        <v>35</v>
      </c>
      <c r="B74">
        <v>1</v>
      </c>
    </row>
    <row r="75" spans="1:9" hidden="1" x14ac:dyDescent="0.25">
      <c r="A75" t="s">
        <v>36</v>
      </c>
      <c r="B75">
        <f>$B$74/ ($B$68 + 1)</f>
        <v>6.6090358738467234E-2</v>
      </c>
    </row>
    <row r="76" spans="1:9" hidden="1" x14ac:dyDescent="0.25">
      <c r="A76" t="s">
        <v>37</v>
      </c>
      <c r="B76">
        <f>$B$75 / 2</f>
        <v>3.3045179369233617E-2</v>
      </c>
    </row>
    <row r="77" spans="1:9" hidden="1" x14ac:dyDescent="0.25">
      <c r="A77" t="s">
        <v>38</v>
      </c>
      <c r="B77">
        <f>$B$28 * 6.89476</f>
        <v>299.92205999999999</v>
      </c>
    </row>
    <row r="78" spans="1:9" hidden="1" x14ac:dyDescent="0.25">
      <c r="A78" s="42"/>
      <c r="B78" s="43" t="s">
        <v>38</v>
      </c>
      <c r="C78" s="43"/>
      <c r="D78" s="43"/>
      <c r="E78" s="43"/>
      <c r="F78" s="43"/>
      <c r="G78" s="43"/>
      <c r="H78" s="43"/>
      <c r="I78" s="44"/>
    </row>
    <row r="79" spans="1:9" hidden="1" x14ac:dyDescent="0.25">
      <c r="A79" s="45"/>
      <c r="B79" s="46">
        <v>199</v>
      </c>
      <c r="C79" s="46">
        <v>200</v>
      </c>
      <c r="D79" s="46">
        <v>300</v>
      </c>
      <c r="E79" s="46">
        <v>400</v>
      </c>
      <c r="F79" s="46">
        <v>500</v>
      </c>
      <c r="G79" s="46">
        <v>600</v>
      </c>
      <c r="H79" s="46">
        <v>700</v>
      </c>
      <c r="I79" s="47">
        <v>701</v>
      </c>
    </row>
    <row r="80" spans="1:9" hidden="1" x14ac:dyDescent="0.25">
      <c r="A80" s="5" t="s">
        <v>39</v>
      </c>
      <c r="B80" s="48">
        <v>886.59999999999991</v>
      </c>
      <c r="C80" s="48">
        <v>886.59999999999991</v>
      </c>
      <c r="D80" s="48">
        <v>1116.0999999999999</v>
      </c>
      <c r="E80" s="48">
        <v>1303</v>
      </c>
      <c r="F80" s="48">
        <v>1453.7</v>
      </c>
      <c r="G80" s="48">
        <v>1589.7</v>
      </c>
      <c r="H80" s="48">
        <v>1717.072248043163</v>
      </c>
      <c r="I80" s="49">
        <v>1717.072248043163</v>
      </c>
    </row>
    <row r="81" spans="1:9" hidden="1" x14ac:dyDescent="0.25">
      <c r="A81" s="8" t="s">
        <v>40</v>
      </c>
      <c r="B81" s="21">
        <f>$B$76 / 886.599999999999 / $B$71*$B$73</f>
        <v>3038.4620934548743</v>
      </c>
      <c r="C81" s="21">
        <f>$B$76 / 886.599999999999 / $B$71*$B$73</f>
        <v>3038.4620934548743</v>
      </c>
      <c r="D81" s="21">
        <f>$B$76 / 1116.1 / $B$71*$B$73</f>
        <v>2413.6730508530495</v>
      </c>
      <c r="E81" s="21">
        <f>$B$76 / 1303 / $B$71*$B$73</f>
        <v>2067.4600859993002</v>
      </c>
      <c r="F81" s="21">
        <f>$B$76 / 1453.7 / $B$71*$B$73</f>
        <v>1853.1337222653151</v>
      </c>
      <c r="G81" s="21">
        <f>$B$76 / 1589.7 / $B$71*$B$73</f>
        <v>1694.5967742700436</v>
      </c>
      <c r="H81" s="21">
        <f>$B$76 / 1717.07224804316 / $B$71*$B$73</f>
        <v>1568.8917546289379</v>
      </c>
      <c r="I81" s="22">
        <f>$B$76 / 1717.07224804316 / $B$71*$B$73</f>
        <v>1568.8917546289379</v>
      </c>
    </row>
    <row r="82" spans="1:9" hidden="1" x14ac:dyDescent="0.25"/>
  </sheetData>
  <sheetProtection sheet="1" objects="1" scenarios="1"/>
  <conditionalFormatting sqref="A28:H28">
    <cfRule type="expression" dxfId="1" priority="1">
      <formula>NOT(AND($B$28&gt;=29, $B$28&lt;=101.5))</formula>
    </cfRule>
  </conditionalFormatting>
  <conditionalFormatting sqref="A29:H29">
    <cfRule type="expression" dxfId="0" priority="2">
      <formula>NOT(AND($B$29&gt;=0, $B$29&lt;=100))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Subaru COBB Accessport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Richards</dc:creator>
  <cp:lastModifiedBy>Simon Richards</cp:lastModifiedBy>
  <dcterms:created xsi:type="dcterms:W3CDTF">2022-10-24T01:45:27Z</dcterms:created>
  <dcterms:modified xsi:type="dcterms:W3CDTF">2022-10-24T01:53:15Z</dcterms:modified>
</cp:coreProperties>
</file>