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525M\"/>
    </mc:Choice>
  </mc:AlternateContent>
  <xr:revisionPtr revIDLastSave="0" documentId="13_ncr:1_{A139D8B1-33B6-4229-85F5-86AB9579A96D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ubaru COBB Access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1" l="1"/>
  <c r="B74" i="1"/>
  <c r="B75" i="1" s="1"/>
  <c r="B70" i="1"/>
  <c r="B67" i="1"/>
  <c r="J50" i="1"/>
  <c r="F59" i="1" s="1"/>
  <c r="I50" i="1"/>
  <c r="F55" i="1" s="1"/>
  <c r="H50" i="1"/>
  <c r="E59" i="1" s="1"/>
  <c r="G50" i="1"/>
  <c r="D55" i="1" s="1"/>
  <c r="F50" i="1"/>
  <c r="D59" i="1" s="1"/>
  <c r="E50" i="1"/>
  <c r="C55" i="1" s="1"/>
  <c r="D50" i="1"/>
  <c r="C59" i="1" s="1"/>
  <c r="C50" i="1"/>
  <c r="B55" i="1" s="1"/>
  <c r="B50" i="1"/>
  <c r="B59" i="1" s="1"/>
  <c r="G28" i="1"/>
  <c r="G27" i="1"/>
  <c r="I80" i="1" l="1"/>
  <c r="C80" i="1"/>
  <c r="H80" i="1"/>
  <c r="B80" i="1"/>
  <c r="F80" i="1"/>
  <c r="G80" i="1"/>
  <c r="E80" i="1"/>
  <c r="D80" i="1"/>
  <c r="B62" i="1"/>
  <c r="E55" i="1"/>
</calcChain>
</file>

<file path=xl/sharedStrings.xml><?xml version="1.0" encoding="utf-8"?>
<sst xmlns="http://schemas.openxmlformats.org/spreadsheetml/2006/main" count="47" uniqueCount="41">
  <si>
    <t>HP525M Subaru COBB Accessport</t>
  </si>
  <si>
    <t>Injector Type:</t>
  </si>
  <si>
    <t>HP525M</t>
  </si>
  <si>
    <t>Matched Set:</t>
  </si>
  <si>
    <t>None selected</t>
  </si>
  <si>
    <t>Report Date:</t>
  </si>
  <si>
    <t>18/05/2022</t>
  </si>
  <si>
    <t>Reference Voltage:</t>
  </si>
  <si>
    <t>V</t>
  </si>
  <si>
    <t>Fuel Pressure [psi]</t>
  </si>
  <si>
    <t>Edit to update. Range: 29 to 102</t>
  </si>
  <si>
    <t>Ethanol Content [%]</t>
  </si>
  <si>
    <t>Edit to update. Range: 0 to 100</t>
  </si>
  <si>
    <t>Fuel Injector Trim</t>
  </si>
  <si>
    <t>Injector Pulse Width [ms]</t>
  </si>
  <si>
    <t>Pulse Width Adder [%]</t>
  </si>
  <si>
    <t>Minimum Small IPW [ms]</t>
  </si>
  <si>
    <t>Maximum Small IPW [ms]</t>
  </si>
  <si>
    <t>Maximum RPM, Small IPW [RPM]</t>
  </si>
  <si>
    <t>Voltage [V]</t>
  </si>
  <si>
    <t>Pressure [psi]</t>
  </si>
  <si>
    <t>Offset [ms]</t>
  </si>
  <si>
    <t>Injector Offsets (All 2.5L and 2.0L SD)</t>
  </si>
  <si>
    <t>Injector Offsets (2.0L MAF)</t>
  </si>
  <si>
    <t>Fuel Injector Scale</t>
  </si>
  <si>
    <t>Calculation Tables</t>
  </si>
  <si>
    <t>Stoich AFR (gasoline)</t>
  </si>
  <si>
    <t>Stoich AFR (ethanol)</t>
  </si>
  <si>
    <t>Stoich AFR (mixture)</t>
  </si>
  <si>
    <t>Density, gasoline [g/cc]</t>
  </si>
  <si>
    <t>Density, ethanol, [g/cc]</t>
  </si>
  <si>
    <t>Density, mixture [g/cc]</t>
  </si>
  <si>
    <t>kPa per psi [kPa/psi]</t>
  </si>
  <si>
    <t>Microseconds per minute [us/min]</t>
  </si>
  <si>
    <t>Stoichiometric load [g/rev]</t>
  </si>
  <si>
    <t>Fuel mass per rev [g/rev]</t>
  </si>
  <si>
    <t>Fuel Mass for Stoich [g]</t>
  </si>
  <si>
    <t>Fuel Pressure [kPa]</t>
  </si>
  <si>
    <t>Flow Rate [cc/min]</t>
  </si>
  <si>
    <t>Scale Factor [ms]</t>
  </si>
  <si>
    <t>Fuel Injector Scale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</si>
</sst>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4" borderId="9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0" fillId="3" borderId="14" xfId="0" applyNumberFormat="1" applyFill="1" applyBorder="1"/>
    <xf numFmtId="167" fontId="0" fillId="3" borderId="14" xfId="0" applyNumberFormat="1" applyFill="1" applyBorder="1"/>
    <xf numFmtId="1" fontId="0" fillId="3" borderId="14" xfId="0" applyNumberFormat="1" applyFill="1" applyBorder="1"/>
    <xf numFmtId="167" fontId="2" fillId="2" borderId="1" xfId="0" applyNumberFormat="1" applyFont="1" applyFill="1" applyBorder="1"/>
    <xf numFmtId="167" fontId="2" fillId="2" borderId="2" xfId="0" applyNumberFormat="1" applyFont="1" applyFill="1" applyBorder="1"/>
    <xf numFmtId="167" fontId="2" fillId="2" borderId="3" xfId="0" applyNumberFormat="1" applyFont="1" applyFill="1" applyBorder="1"/>
    <xf numFmtId="167" fontId="2" fillId="2" borderId="15" xfId="0" applyNumberFormat="1" applyFont="1" applyFill="1" applyBorder="1"/>
    <xf numFmtId="167" fontId="2" fillId="2" borderId="16" xfId="0" applyNumberFormat="1" applyFont="1" applyFill="1" applyBorder="1"/>
    <xf numFmtId="167" fontId="2" fillId="2" borderId="17" xfId="0" applyNumberFormat="1" applyFont="1" applyFill="1" applyBorder="1"/>
    <xf numFmtId="167" fontId="2" fillId="2" borderId="4" xfId="0" applyNumberFormat="1" applyFont="1" applyFill="1" applyBorder="1"/>
    <xf numFmtId="168" fontId="0" fillId="3" borderId="0" xfId="0" applyNumberFormat="1" applyFill="1"/>
    <xf numFmtId="168" fontId="0" fillId="3" borderId="5" xfId="0" applyNumberFormat="1" applyFill="1" applyBorder="1"/>
    <xf numFmtId="167" fontId="2" fillId="2" borderId="6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7" fontId="2" fillId="2" borderId="10" xfId="0" applyNumberFormat="1" applyFont="1" applyFill="1" applyBorder="1"/>
    <xf numFmtId="167" fontId="2" fillId="2" borderId="11" xfId="0" applyNumberFormat="1" applyFont="1" applyFill="1" applyBorder="1"/>
    <xf numFmtId="167" fontId="2" fillId="2" borderId="12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8E84DD-C45B-4DA3-AF8C-91D423C5C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J81"/>
  <sheetViews>
    <sheetView tabSelected="1" workbookViewId="0">
      <selection activeCell="E28" sqref="E2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1"/>
      <c r="D22" s="12"/>
    </row>
    <row r="23" spans="1:9" x14ac:dyDescent="0.25">
      <c r="A23" s="5" t="s">
        <v>7</v>
      </c>
      <c r="B23" s="13">
        <v>14</v>
      </c>
      <c r="C23" s="13" t="s">
        <v>8</v>
      </c>
      <c r="D23" s="14"/>
    </row>
    <row r="24" spans="1:9" x14ac:dyDescent="0.25">
      <c r="A24" s="8"/>
      <c r="B24" s="15"/>
      <c r="C24" s="15"/>
      <c r="D24" s="16"/>
    </row>
    <row r="27" spans="1:9" x14ac:dyDescent="0.25">
      <c r="A27" s="17" t="s">
        <v>9</v>
      </c>
      <c r="B27" s="18">
        <v>44</v>
      </c>
      <c r="C27" s="17" t="s">
        <v>10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8" spans="1:9" x14ac:dyDescent="0.25">
      <c r="A28" s="17" t="s">
        <v>11</v>
      </c>
      <c r="B28" s="17">
        <v>10</v>
      </c>
      <c r="C28" s="17" t="s">
        <v>12</v>
      </c>
      <c r="D28" s="17"/>
      <c r="E28" s="17"/>
      <c r="F28" s="17"/>
      <c r="G28" t="str">
        <f>IF(AND($B$28&gt;=0, $B$28&lt;=100), "", "Invalid value! Calculated values below may not be valid for this value.")</f>
        <v/>
      </c>
    </row>
    <row r="30" spans="1:9" ht="28.9" customHeight="1" x14ac:dyDescent="0.5">
      <c r="A30" s="1" t="s">
        <v>13</v>
      </c>
      <c r="B30" s="1"/>
    </row>
    <row r="31" spans="1:9" x14ac:dyDescent="0.25">
      <c r="A31" s="19" t="s">
        <v>14</v>
      </c>
      <c r="B31" s="20">
        <v>0.46</v>
      </c>
      <c r="C31" s="20">
        <v>0.5346310186860862</v>
      </c>
      <c r="D31" s="20">
        <v>0.62137027422026581</v>
      </c>
      <c r="E31" s="20">
        <v>0.72218222323398584</v>
      </c>
      <c r="F31" s="20">
        <v>0.8393500384447139</v>
      </c>
      <c r="G31" s="20">
        <v>0.97552731758239786</v>
      </c>
      <c r="H31" s="20">
        <v>1.1337981816417011</v>
      </c>
      <c r="I31" s="21">
        <v>1.3177471235555109</v>
      </c>
    </row>
    <row r="32" spans="1:9" x14ac:dyDescent="0.25">
      <c r="A32" s="8" t="s">
        <v>15</v>
      </c>
      <c r="B32" s="22">
        <v>24.091485507246439</v>
      </c>
      <c r="C32" s="22">
        <v>31.144807797324539</v>
      </c>
      <c r="D32" s="22">
        <v>19.097909158458961</v>
      </c>
      <c r="E32" s="22">
        <v>16.607104073490849</v>
      </c>
      <c r="F32" s="22">
        <v>8.1580730524378566</v>
      </c>
      <c r="G32" s="22">
        <v>5.9012933285833027</v>
      </c>
      <c r="H32" s="22">
        <v>2.459174635121836</v>
      </c>
      <c r="I32" s="23">
        <v>1.1478243484928481</v>
      </c>
    </row>
    <row r="34" spans="1:10" x14ac:dyDescent="0.25">
      <c r="A34" s="24" t="s">
        <v>16</v>
      </c>
      <c r="B34" s="25">
        <v>0.46</v>
      </c>
    </row>
    <row r="36" spans="1:10" x14ac:dyDescent="0.25">
      <c r="A36" s="24" t="s">
        <v>17</v>
      </c>
      <c r="B36" s="26">
        <v>1.3177471235555109</v>
      </c>
    </row>
    <row r="38" spans="1:10" x14ac:dyDescent="0.25">
      <c r="A38" s="24" t="s">
        <v>18</v>
      </c>
      <c r="B38" s="27">
        <v>10000</v>
      </c>
    </row>
    <row r="40" spans="1:10" hidden="1" x14ac:dyDescent="0.25">
      <c r="A40" s="28"/>
      <c r="B40" s="29" t="s">
        <v>19</v>
      </c>
      <c r="C40" s="29"/>
      <c r="D40" s="29"/>
      <c r="E40" s="29"/>
      <c r="F40" s="29"/>
      <c r="G40" s="29"/>
      <c r="H40" s="29"/>
      <c r="I40" s="29"/>
      <c r="J40" s="30"/>
    </row>
    <row r="41" spans="1:10" hidden="1" x14ac:dyDescent="0.25">
      <c r="A41" s="31" t="s">
        <v>20</v>
      </c>
      <c r="B41" s="32">
        <v>6.5</v>
      </c>
      <c r="C41" s="32">
        <v>8</v>
      </c>
      <c r="D41" s="32">
        <v>9</v>
      </c>
      <c r="E41" s="32">
        <v>10</v>
      </c>
      <c r="F41" s="32">
        <v>11.5</v>
      </c>
      <c r="G41" s="32">
        <v>12</v>
      </c>
      <c r="H41" s="32">
        <v>14</v>
      </c>
      <c r="I41" s="32">
        <v>16</v>
      </c>
      <c r="J41" s="33">
        <v>16.5</v>
      </c>
    </row>
    <row r="42" spans="1:10" hidden="1" x14ac:dyDescent="0.25">
      <c r="A42" s="34">
        <v>29.007999999999999</v>
      </c>
      <c r="B42" s="35">
        <v>2.5465687435988018</v>
      </c>
      <c r="C42" s="35">
        <v>1.7166189643167891</v>
      </c>
      <c r="D42" s="35">
        <v>1.3850975941413211</v>
      </c>
      <c r="E42" s="35">
        <v>1.162638794898962</v>
      </c>
      <c r="F42" s="35">
        <v>0.93897746318851993</v>
      </c>
      <c r="G42" s="35">
        <v>0.87833618541163538</v>
      </c>
      <c r="H42" s="35">
        <v>0.65384779174024743</v>
      </c>
      <c r="I42" s="35">
        <v>0.47656163535282298</v>
      </c>
      <c r="J42" s="36">
        <v>0.45691873755080792</v>
      </c>
    </row>
    <row r="43" spans="1:10" hidden="1" x14ac:dyDescent="0.25">
      <c r="A43" s="34">
        <v>43.512</v>
      </c>
      <c r="B43" s="35">
        <v>3.0185585599647622</v>
      </c>
      <c r="C43" s="35">
        <v>1.9689210061561939</v>
      </c>
      <c r="D43" s="35">
        <v>1.546418036822069</v>
      </c>
      <c r="E43" s="35">
        <v>1.2680416135693351</v>
      </c>
      <c r="F43" s="35">
        <v>1.0087783768608709</v>
      </c>
      <c r="G43" s="35">
        <v>0.94514976628691372</v>
      </c>
      <c r="H43" s="35">
        <v>0.72649028975581231</v>
      </c>
      <c r="I43" s="35">
        <v>0.53555937500562578</v>
      </c>
      <c r="J43" s="36">
        <v>0.50197520193605527</v>
      </c>
    </row>
    <row r="44" spans="1:10" hidden="1" x14ac:dyDescent="0.25">
      <c r="A44" s="34">
        <v>58.015999999999998</v>
      </c>
      <c r="B44" s="35">
        <v>3.6056842741926851</v>
      </c>
      <c r="C44" s="35">
        <v>2.290580898779528</v>
      </c>
      <c r="D44" s="35">
        <v>1.7529732092663559</v>
      </c>
      <c r="E44" s="35">
        <v>1.399672502608188</v>
      </c>
      <c r="F44" s="35">
        <v>1.085890737356515</v>
      </c>
      <c r="G44" s="35">
        <v>1.015527483616411</v>
      </c>
      <c r="H44" s="35">
        <v>0.80049883681264689</v>
      </c>
      <c r="I44" s="35">
        <v>0.61419092278796938</v>
      </c>
      <c r="J44" s="36">
        <v>0.57443020273873202</v>
      </c>
    </row>
    <row r="45" spans="1:10" hidden="1" x14ac:dyDescent="0.25">
      <c r="A45" s="34">
        <v>72.52</v>
      </c>
      <c r="B45" s="35">
        <v>4.3637953982691498</v>
      </c>
      <c r="C45" s="35">
        <v>2.726206223091427</v>
      </c>
      <c r="D45" s="35">
        <v>2.0418760716575322</v>
      </c>
      <c r="E45" s="35">
        <v>1.5871498014775529</v>
      </c>
      <c r="F45" s="35">
        <v>1.188690953055596</v>
      </c>
      <c r="G45" s="35">
        <v>1.1040984354196399</v>
      </c>
      <c r="H45" s="35">
        <v>0.87551328948763185</v>
      </c>
      <c r="I45" s="35">
        <v>0.69710689383411051</v>
      </c>
      <c r="J45" s="36">
        <v>0.65518704473244327</v>
      </c>
    </row>
    <row r="46" spans="1:10" hidden="1" x14ac:dyDescent="0.25">
      <c r="A46" s="34">
        <v>87.024000000000001</v>
      </c>
      <c r="B46" s="35">
        <v>5.3608123113417108</v>
      </c>
      <c r="C46" s="35">
        <v>3.3324754271575152</v>
      </c>
      <c r="D46" s="35">
        <v>2.4623104513399352</v>
      </c>
      <c r="E46" s="35">
        <v>1.8721627168004831</v>
      </c>
      <c r="F46" s="35">
        <v>1.347626299499199</v>
      </c>
      <c r="G46" s="35">
        <v>1.237562586877033</v>
      </c>
      <c r="H46" s="35">
        <v>0.96324437151863762</v>
      </c>
      <c r="I46" s="35">
        <v>0.78102877043938435</v>
      </c>
      <c r="J46" s="36">
        <v>0.73721989985185843</v>
      </c>
    </row>
    <row r="47" spans="1:10" hidden="1" x14ac:dyDescent="0.25">
      <c r="A47" s="37">
        <v>101.52800000000001</v>
      </c>
      <c r="B47" s="38">
        <v>6.6767262597189507</v>
      </c>
      <c r="C47" s="38">
        <v>4.1781378262044377</v>
      </c>
      <c r="D47" s="38">
        <v>3.0755310428188989</v>
      </c>
      <c r="E47" s="38">
        <v>2.30847132236102</v>
      </c>
      <c r="F47" s="38">
        <v>1.6052149193894549</v>
      </c>
      <c r="G47" s="38">
        <v>1.454690770330084</v>
      </c>
      <c r="H47" s="38">
        <v>1.087473673804578</v>
      </c>
      <c r="I47" s="38">
        <v>0.87474890206008382</v>
      </c>
      <c r="J47" s="39">
        <v>0.8255738071926757</v>
      </c>
    </row>
    <row r="48" spans="1:10" hidden="1" x14ac:dyDescent="0.25"/>
    <row r="49" spans="1:10" hidden="1" x14ac:dyDescent="0.25">
      <c r="A49" s="19" t="s">
        <v>19</v>
      </c>
      <c r="B49" s="20">
        <v>6.5</v>
      </c>
      <c r="C49" s="20">
        <v>8</v>
      </c>
      <c r="D49" s="20">
        <v>9</v>
      </c>
      <c r="E49" s="20">
        <v>10</v>
      </c>
      <c r="F49" s="20">
        <v>11.5</v>
      </c>
      <c r="G49" s="20">
        <v>12</v>
      </c>
      <c r="H49" s="20">
        <v>14</v>
      </c>
      <c r="I49" s="20">
        <v>16</v>
      </c>
      <c r="J49" s="21">
        <v>16.5</v>
      </c>
    </row>
    <row r="50" spans="1:10" hidden="1" x14ac:dyDescent="0.25">
      <c r="A50" s="8" t="s">
        <v>21</v>
      </c>
      <c r="B50" s="9">
        <f ca="1">FORECAST(
            $B$27,
            OFFSET($B$42:$B$47,MATCH($B$27,$A$42:$A$47,1)-1,0,2),
            OFFSET($A$42:$A$47,MATCH($B$27,$A$42:$A$47,1)-1,0,2)
        )</f>
        <v>3.0383129276249408</v>
      </c>
      <c r="C50" s="9">
        <f ca="1">FORECAST(
            $B$27,
            OFFSET($C$42:$C$47,MATCH($B$27,$A$42:$A$47,1)-1,0,2),
            OFFSET($A$42:$A$47,MATCH($B$27,$A$42:$A$47,1)-1,0,2)
        )</f>
        <v>1.9797435397745193</v>
      </c>
      <c r="D50" s="9">
        <f ca="1">FORECAST(
            $B$27,
            OFFSET($D$42:$D$47,MATCH($B$27,$A$42:$A$47,1)-1,0,2),
            OFFSET($A$42:$A$47,MATCH($B$27,$A$42:$A$47,1)-1,0,2)
        )</f>
        <v>1.5533677695959807</v>
      </c>
      <c r="E50" s="9">
        <f ca="1">FORECAST(
            $B$27,
            OFFSET($E$42:$E$47,MATCH($B$27,$A$42:$A$47,1)-1,0,2),
            OFFSET($A$42:$A$47,MATCH($B$27,$A$42:$A$47,1)-1,0,2)
        )</f>
        <v>1.2724704520863619</v>
      </c>
      <c r="F50" s="9">
        <f ca="1">FORECAST(
            $B$27,
            OFFSET($F$42:$F$47,MATCH($B$27,$A$42:$A$47,1)-1,0,2),
            OFFSET($A$42:$A$47,MATCH($B$27,$A$42:$A$47,1)-1,0,2)
        )</f>
        <v>1.0113728909205699</v>
      </c>
      <c r="G50" s="9">
        <f ca="1">FORECAST(
            $B$27,
            OFFSET($G$42:$G$47,MATCH($B$27,$A$42:$A$47,1)-1,0,2),
            OFFSET($A$42:$A$47,MATCH($B$27,$A$42:$A$47,1)-1,0,2)
        )</f>
        <v>0.94751768727814345</v>
      </c>
      <c r="H50" s="9">
        <f ca="1">FORECAST(
            $B$27,
            OFFSET($H$42:$H$47,MATCH($B$27,$A$42:$A$47,1)-1,0,2),
            OFFSET($A$42:$A$47,MATCH($B$27,$A$42:$A$47,1)-1,0,2)
        )</f>
        <v>0.72898037324752041</v>
      </c>
      <c r="I50" s="9">
        <f ca="1">FORECAST(
            $B$27,
            OFFSET($I$42:$I$47,MATCH($B$27,$A$42:$A$47,1)-1,0,2),
            OFFSET($A$42:$A$47,MATCH($B$27,$A$42:$A$47,1)-1,0,2)
        )</f>
        <v>0.53820500347486067</v>
      </c>
      <c r="J50" s="10">
        <f ca="1">FORECAST(
            $B$27,
            OFFSET($J$42:$J$47,MATCH($B$27,$A$42:$A$47,1)-1,0,2),
            OFFSET($A$42:$A$47,MATCH($B$27,$A$42:$A$47,1)-1,0,2)
        )</f>
        <v>0.50441301498016078</v>
      </c>
    </row>
    <row r="51" spans="1:10" hidden="1" x14ac:dyDescent="0.25"/>
    <row r="52" spans="1:10" hidden="1" x14ac:dyDescent="0.25"/>
    <row r="53" spans="1:10" ht="28.9" customHeight="1" x14ac:dyDescent="0.5">
      <c r="A53" s="1" t="s">
        <v>22</v>
      </c>
    </row>
    <row r="54" spans="1:10" x14ac:dyDescent="0.25">
      <c r="A54" s="40" t="s">
        <v>19</v>
      </c>
      <c r="B54" s="41">
        <v>8</v>
      </c>
      <c r="C54" s="41">
        <v>10</v>
      </c>
      <c r="D54" s="41">
        <v>12</v>
      </c>
      <c r="E54" s="41">
        <v>14</v>
      </c>
      <c r="F54" s="42">
        <v>16</v>
      </c>
    </row>
    <row r="55" spans="1:10" x14ac:dyDescent="0.25">
      <c r="A55" s="37" t="s">
        <v>21</v>
      </c>
      <c r="B55" s="38">
        <f ca="1">$C$50</f>
        <v>1.9797435397745193</v>
      </c>
      <c r="C55" s="38">
        <f ca="1">$E$50</f>
        <v>1.2724704520863619</v>
      </c>
      <c r="D55" s="38">
        <f ca="1">$G$50</f>
        <v>0.94751768727814345</v>
      </c>
      <c r="E55" s="38">
        <f ca="1">$H$50</f>
        <v>0.72898037324752041</v>
      </c>
      <c r="F55" s="39">
        <f ca="1">$I$50</f>
        <v>0.53820500347486067</v>
      </c>
    </row>
    <row r="57" spans="1:10" ht="28.9" customHeight="1" x14ac:dyDescent="0.5">
      <c r="A57" s="1" t="s">
        <v>23</v>
      </c>
    </row>
    <row r="58" spans="1:10" x14ac:dyDescent="0.25">
      <c r="A58" s="40" t="s">
        <v>19</v>
      </c>
      <c r="B58" s="41">
        <v>6.5</v>
      </c>
      <c r="C58" s="41">
        <v>9</v>
      </c>
      <c r="D58" s="41">
        <v>11.5</v>
      </c>
      <c r="E58" s="41">
        <v>14</v>
      </c>
      <c r="F58" s="42">
        <v>16.5</v>
      </c>
    </row>
    <row r="59" spans="1:10" x14ac:dyDescent="0.25">
      <c r="A59" s="37" t="s">
        <v>21</v>
      </c>
      <c r="B59" s="38">
        <f ca="1">$B$50</f>
        <v>3.0383129276249408</v>
      </c>
      <c r="C59" s="38">
        <f ca="1">$D$50</f>
        <v>1.5533677695959807</v>
      </c>
      <c r="D59" s="38">
        <f ca="1">$F$50</f>
        <v>1.0113728909205699</v>
      </c>
      <c r="E59" s="38">
        <f ca="1">$H$50</f>
        <v>0.72898037324752041</v>
      </c>
      <c r="F59" s="39">
        <f ca="1">$J$50</f>
        <v>0.50441301498016078</v>
      </c>
    </row>
    <row r="61" spans="1:10" ht="28.9" customHeight="1" x14ac:dyDescent="0.5">
      <c r="A61" s="1" t="s">
        <v>24</v>
      </c>
    </row>
    <row r="62" spans="1:10" x14ac:dyDescent="0.25">
      <c r="A62" s="24" t="s">
        <v>40</v>
      </c>
      <c r="B62" s="27">
        <f>_xlfn.FORECAST.LINEAR($B$76,   INDEX($B$80:$I$80,MATCH($B$76,$B$78:$I$78,1)):INDEX($B$80:$I$80,MATCH($B$76,$B$78:$I$78,1)+1),   INDEX($B$78:$I$78,MATCH($B$76,$B$78:$I$78,1)):INDEX($B$78:$I$78,MATCH($B$76,$B$78:$I$78,1)+1))</f>
        <v>5161.0204623028003</v>
      </c>
    </row>
    <row r="64" spans="1:10" ht="31.5" hidden="1" x14ac:dyDescent="0.5">
      <c r="A64" s="1" t="s">
        <v>25</v>
      </c>
    </row>
    <row r="65" spans="1:9" hidden="1" x14ac:dyDescent="0.25">
      <c r="A65" t="s">
        <v>26</v>
      </c>
      <c r="B65">
        <v>14.7</v>
      </c>
    </row>
    <row r="66" spans="1:9" hidden="1" x14ac:dyDescent="0.25">
      <c r="A66" t="s">
        <v>27</v>
      </c>
      <c r="B66">
        <v>9.0079999999999991</v>
      </c>
    </row>
    <row r="67" spans="1:9" hidden="1" x14ac:dyDescent="0.25">
      <c r="A67" t="s">
        <v>28</v>
      </c>
      <c r="B67">
        <f>($B$28/100) * $B$66 + ((100-$B$28)/100) * $B$65</f>
        <v>14.130800000000001</v>
      </c>
    </row>
    <row r="68" spans="1:9" hidden="1" x14ac:dyDescent="0.25">
      <c r="A68" t="s">
        <v>29</v>
      </c>
      <c r="B68">
        <v>0.73</v>
      </c>
    </row>
    <row r="69" spans="1:9" hidden="1" x14ac:dyDescent="0.25">
      <c r="A69" t="s">
        <v>30</v>
      </c>
      <c r="B69">
        <v>0.79</v>
      </c>
    </row>
    <row r="70" spans="1:9" hidden="1" x14ac:dyDescent="0.25">
      <c r="A70" t="s">
        <v>31</v>
      </c>
      <c r="B70">
        <f>($B$28/100) * $B$69 + ((100-$B$28)/100) * $B$68</f>
        <v>0.73599999999999999</v>
      </c>
    </row>
    <row r="71" spans="1:9" hidden="1" x14ac:dyDescent="0.25">
      <c r="A71" t="s">
        <v>32</v>
      </c>
      <c r="B71">
        <v>6.8947599999999998</v>
      </c>
    </row>
    <row r="72" spans="1:9" hidden="1" x14ac:dyDescent="0.25">
      <c r="A72" t="s">
        <v>33</v>
      </c>
      <c r="B72">
        <v>60000000</v>
      </c>
    </row>
    <row r="73" spans="1:9" hidden="1" x14ac:dyDescent="0.25">
      <c r="A73" t="s">
        <v>34</v>
      </c>
      <c r="B73">
        <v>1</v>
      </c>
    </row>
    <row r="74" spans="1:9" hidden="1" x14ac:dyDescent="0.25">
      <c r="A74" t="s">
        <v>35</v>
      </c>
      <c r="B74">
        <f>$B$73/ ($B$67 + 1)</f>
        <v>6.6090358738467234E-2</v>
      </c>
    </row>
    <row r="75" spans="1:9" hidden="1" x14ac:dyDescent="0.25">
      <c r="A75" t="s">
        <v>36</v>
      </c>
      <c r="B75">
        <f>$B$74 / 2</f>
        <v>3.3045179369233617E-2</v>
      </c>
    </row>
    <row r="76" spans="1:9" hidden="1" x14ac:dyDescent="0.25">
      <c r="A76" t="s">
        <v>37</v>
      </c>
      <c r="B76">
        <f>$B$27 * 6.89476</f>
        <v>303.36944</v>
      </c>
    </row>
    <row r="77" spans="1:9" hidden="1" x14ac:dyDescent="0.25">
      <c r="A77" s="43"/>
      <c r="B77" s="44" t="s">
        <v>37</v>
      </c>
      <c r="C77" s="44"/>
      <c r="D77" s="44"/>
      <c r="E77" s="44"/>
      <c r="F77" s="44"/>
      <c r="G77" s="44"/>
      <c r="H77" s="44"/>
      <c r="I77" s="45"/>
    </row>
    <row r="78" spans="1:9" hidden="1" x14ac:dyDescent="0.25">
      <c r="A78" s="46"/>
      <c r="B78" s="47">
        <v>199</v>
      </c>
      <c r="C78" s="47">
        <v>200</v>
      </c>
      <c r="D78" s="47">
        <v>300</v>
      </c>
      <c r="E78" s="47">
        <v>400</v>
      </c>
      <c r="F78" s="47">
        <v>500</v>
      </c>
      <c r="G78" s="47">
        <v>600</v>
      </c>
      <c r="H78" s="47">
        <v>700</v>
      </c>
      <c r="I78" s="48">
        <v>701</v>
      </c>
    </row>
    <row r="79" spans="1:9" hidden="1" x14ac:dyDescent="0.25">
      <c r="A79" s="5" t="s">
        <v>38</v>
      </c>
      <c r="B79" s="49">
        <v>420.3</v>
      </c>
      <c r="C79" s="49">
        <v>420.3</v>
      </c>
      <c r="D79" s="49">
        <v>519.5</v>
      </c>
      <c r="E79" s="49">
        <v>604.4</v>
      </c>
      <c r="F79" s="49">
        <v>677.3</v>
      </c>
      <c r="G79" s="49">
        <v>739.3</v>
      </c>
      <c r="H79" s="49">
        <v>798.53526638882192</v>
      </c>
      <c r="I79" s="50">
        <v>798.53526638882192</v>
      </c>
    </row>
    <row r="80" spans="1:9" hidden="1" x14ac:dyDescent="0.25">
      <c r="A80" s="8" t="s">
        <v>39</v>
      </c>
      <c r="B80" s="22">
        <f>$B$75 / 420.3 / $B$70*$B$72</f>
        <v>6409.4705973283089</v>
      </c>
      <c r="C80" s="22">
        <f>$B$75 / 420.3 / $B$70*$B$72</f>
        <v>6409.4705973283089</v>
      </c>
      <c r="D80" s="22">
        <f>$B$75 / 519.5 / $B$70*$B$72</f>
        <v>5185.5639885603232</v>
      </c>
      <c r="E80" s="22">
        <f>$B$75 / 604.4 / $B$70*$B$72</f>
        <v>4457.1483985061031</v>
      </c>
      <c r="F80" s="22">
        <f>$B$75 / 677.3 / $B$70*$B$72</f>
        <v>3977.411032123267</v>
      </c>
      <c r="G80" s="22">
        <f>$B$75 / 739.3 / $B$70*$B$72</f>
        <v>3643.852958280926</v>
      </c>
      <c r="H80" s="22">
        <f>$B$75 / 798.535266388821 / $B$70*$B$72</f>
        <v>3373.552309392157</v>
      </c>
      <c r="I80" s="23">
        <f>$B$75 / 798.535266388821 / $B$70*$B$72</f>
        <v>3373.552309392157</v>
      </c>
    </row>
    <row r="81" hidden="1" x14ac:dyDescent="0.25"/>
  </sheetData>
  <sheetProtection algorithmName="SHA-512" hashValue="KdMqvtWBr9phYShcfbP01zJssVx6eawCPipF1taZ6JhxY5BvpHH829jbKblaqV4k3nzawufgicDvDZxyTLrVTQ==" saltValue="c+hW7AO4FHWE4QZ1CK8/8A==" spinCount="100000" sheet="1" objects="1" scenarios="1"/>
  <protectedRanges>
    <protectedRange sqref="B27:B28" name="Range1"/>
  </protectedRanges>
  <conditionalFormatting sqref="A27:H27">
    <cfRule type="expression" dxfId="1" priority="1">
      <formula>NOT(AND($B$27&gt;=29, $B$27&lt;=101.5))</formula>
    </cfRule>
  </conditionalFormatting>
  <conditionalFormatting sqref="A28:H28">
    <cfRule type="expression" dxfId="0" priority="2">
      <formula>NOT(AND($B$28&gt;=0, $B$28&lt;=100))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Subaru COBB Accessport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2022-05-18T04:07:46Z</dcterms:created>
  <dcterms:modified xsi:type="dcterms:W3CDTF">2022-05-23T00:02:15Z</dcterms:modified>
</cp:coreProperties>
</file>