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L:\8- Product Managers\Injectors Online\Tuning Data Locked\HP525M\"/>
    </mc:Choice>
  </mc:AlternateContent>
  <xr:revisionPtr revIDLastSave="0" documentId="13_ncr:1_{617F2869-426B-4A4E-9D3D-9D9783BD7123}" xr6:coauthVersionLast="47" xr6:coauthVersionMax="47" xr10:uidLastSave="{00000000-0000-0000-0000-000000000000}"/>
  <bookViews>
    <workbookView xWindow="38280" yWindow="-120" windowWidth="38640" windowHeight="21240" activeTab="3" xr2:uid="{00000000-000D-0000-FFFF-FFFF00000000}"/>
  </bookViews>
  <sheets>
    <sheet name="P01, 0411, P59" sheetId="1" r:id="rId1"/>
    <sheet name="E40" sheetId="2" r:id="rId2"/>
    <sheet name="P04" sheetId="3" r:id="rId3"/>
    <sheet name="P05" sheetId="4" r:id="rId4"/>
    <sheet name="P12" sheetId="5" r:id="rId5"/>
    <sheet name="E37, E38 (&lt;2009)" sheetId="6" r:id="rId6"/>
    <sheet name="E38 (2009+), E67, E78" sheetId="7" r:id="rId7"/>
    <sheet name="Generic" sheetId="8" r:id="rId8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2" i="8" l="1"/>
  <c r="Q62" i="8"/>
  <c r="P62" i="8"/>
  <c r="O62" i="8"/>
  <c r="N62" i="8"/>
  <c r="M62" i="8"/>
  <c r="L62" i="8"/>
  <c r="K62" i="8"/>
  <c r="J62" i="8"/>
  <c r="I62" i="8"/>
  <c r="H62" i="8"/>
  <c r="G62" i="8"/>
  <c r="F62" i="8"/>
  <c r="E62" i="8"/>
  <c r="D62" i="8"/>
  <c r="C62" i="8"/>
  <c r="B62" i="8"/>
  <c r="R61" i="8"/>
  <c r="Q61" i="8"/>
  <c r="P61" i="8"/>
  <c r="O61" i="8"/>
  <c r="N61" i="8"/>
  <c r="M61" i="8"/>
  <c r="L61" i="8"/>
  <c r="K61" i="8"/>
  <c r="J61" i="8"/>
  <c r="I61" i="8"/>
  <c r="H61" i="8"/>
  <c r="G61" i="8"/>
  <c r="F61" i="8"/>
  <c r="E61" i="8"/>
  <c r="D61" i="8"/>
  <c r="C61" i="8"/>
  <c r="B61" i="8"/>
  <c r="E57" i="8"/>
  <c r="C57" i="8"/>
  <c r="E56" i="8"/>
  <c r="C56" i="8"/>
  <c r="E55" i="8"/>
  <c r="C55" i="8"/>
  <c r="E54" i="8"/>
  <c r="C54" i="8"/>
  <c r="E53" i="8"/>
  <c r="C53" i="8"/>
  <c r="E52" i="8"/>
  <c r="C52" i="8"/>
  <c r="E51" i="8"/>
  <c r="C51" i="8"/>
  <c r="E50" i="8"/>
  <c r="C50" i="8"/>
  <c r="E49" i="8"/>
  <c r="C49" i="8"/>
  <c r="E48" i="8"/>
  <c r="C48" i="8"/>
  <c r="E47" i="8"/>
  <c r="C47" i="8"/>
  <c r="E46" i="8"/>
  <c r="C46" i="8"/>
  <c r="E45" i="8"/>
  <c r="C45" i="8"/>
  <c r="E44" i="8"/>
  <c r="C44" i="8"/>
  <c r="E43" i="8"/>
  <c r="C43" i="8"/>
  <c r="E42" i="8"/>
  <c r="C42" i="8"/>
  <c r="E41" i="8"/>
  <c r="C41" i="8"/>
  <c r="R78" i="7"/>
  <c r="Q78" i="7"/>
  <c r="P78" i="7"/>
  <c r="O78" i="7"/>
  <c r="N78" i="7"/>
  <c r="M78" i="7"/>
  <c r="L78" i="7"/>
  <c r="K78" i="7"/>
  <c r="J78" i="7"/>
  <c r="I78" i="7"/>
  <c r="H78" i="7"/>
  <c r="G78" i="7"/>
  <c r="F78" i="7"/>
  <c r="E78" i="7"/>
  <c r="D78" i="7"/>
  <c r="C78" i="7"/>
  <c r="B78" i="7"/>
  <c r="R77" i="7"/>
  <c r="Q77" i="7"/>
  <c r="P77" i="7"/>
  <c r="O77" i="7"/>
  <c r="N77" i="7"/>
  <c r="M77" i="7"/>
  <c r="L77" i="7"/>
  <c r="K77" i="7"/>
  <c r="J77" i="7"/>
  <c r="I77" i="7"/>
  <c r="H77" i="7"/>
  <c r="G77" i="7"/>
  <c r="F77" i="7"/>
  <c r="E77" i="7"/>
  <c r="D77" i="7"/>
  <c r="C77" i="7"/>
  <c r="B77" i="7"/>
  <c r="E73" i="7"/>
  <c r="C73" i="7"/>
  <c r="E72" i="7"/>
  <c r="C72" i="7"/>
  <c r="E71" i="7"/>
  <c r="C71" i="7"/>
  <c r="E70" i="7"/>
  <c r="C70" i="7"/>
  <c r="E69" i="7"/>
  <c r="C69" i="7"/>
  <c r="E68" i="7"/>
  <c r="C68" i="7"/>
  <c r="E67" i="7"/>
  <c r="C67" i="7"/>
  <c r="E66" i="7"/>
  <c r="C66" i="7"/>
  <c r="E65" i="7"/>
  <c r="C65" i="7"/>
  <c r="E64" i="7"/>
  <c r="C64" i="7"/>
  <c r="E63" i="7"/>
  <c r="C63" i="7"/>
  <c r="E62" i="7"/>
  <c r="C62" i="7"/>
  <c r="E61" i="7"/>
  <c r="C61" i="7"/>
  <c r="E60" i="7"/>
  <c r="C60" i="7"/>
  <c r="E59" i="7"/>
  <c r="C59" i="7"/>
  <c r="E58" i="7"/>
  <c r="C58" i="7"/>
  <c r="E57" i="7"/>
  <c r="C57" i="7"/>
  <c r="E56" i="7"/>
  <c r="C56" i="7"/>
  <c r="E55" i="7"/>
  <c r="C55" i="7"/>
  <c r="E54" i="7"/>
  <c r="C54" i="7"/>
  <c r="E53" i="7"/>
  <c r="C53" i="7"/>
  <c r="E52" i="7"/>
  <c r="C52" i="7"/>
  <c r="E51" i="7"/>
  <c r="C51" i="7"/>
  <c r="E50" i="7"/>
  <c r="C50" i="7"/>
  <c r="E49" i="7"/>
  <c r="C49" i="7"/>
  <c r="E48" i="7"/>
  <c r="C48" i="7"/>
  <c r="E47" i="7"/>
  <c r="C47" i="7"/>
  <c r="E46" i="7"/>
  <c r="C46" i="7"/>
  <c r="E45" i="7"/>
  <c r="C45" i="7"/>
  <c r="E44" i="7"/>
  <c r="C44" i="7"/>
  <c r="E43" i="7"/>
  <c r="C43" i="7"/>
  <c r="E42" i="7"/>
  <c r="C42" i="7"/>
  <c r="E41" i="7"/>
  <c r="C41" i="7"/>
  <c r="R78" i="6"/>
  <c r="Q78" i="6"/>
  <c r="P78" i="6"/>
  <c r="O78" i="6"/>
  <c r="N78" i="6"/>
  <c r="M78" i="6"/>
  <c r="L78" i="6"/>
  <c r="K78" i="6"/>
  <c r="J78" i="6"/>
  <c r="I78" i="6"/>
  <c r="H78" i="6"/>
  <c r="G78" i="6"/>
  <c r="F78" i="6"/>
  <c r="E78" i="6"/>
  <c r="D78" i="6"/>
  <c r="C78" i="6"/>
  <c r="B78" i="6"/>
  <c r="R77" i="6"/>
  <c r="Q77" i="6"/>
  <c r="P77" i="6"/>
  <c r="O77" i="6"/>
  <c r="N77" i="6"/>
  <c r="M77" i="6"/>
  <c r="L77" i="6"/>
  <c r="K77" i="6"/>
  <c r="J77" i="6"/>
  <c r="I77" i="6"/>
  <c r="H77" i="6"/>
  <c r="G77" i="6"/>
  <c r="F77" i="6"/>
  <c r="E77" i="6"/>
  <c r="D77" i="6"/>
  <c r="C77" i="6"/>
  <c r="B77" i="6"/>
  <c r="E73" i="6"/>
  <c r="C73" i="6"/>
  <c r="E72" i="6"/>
  <c r="C72" i="6"/>
  <c r="E71" i="6"/>
  <c r="C71" i="6"/>
  <c r="E70" i="6"/>
  <c r="C70" i="6"/>
  <c r="E69" i="6"/>
  <c r="C69" i="6"/>
  <c r="E68" i="6"/>
  <c r="C68" i="6"/>
  <c r="E67" i="6"/>
  <c r="C67" i="6"/>
  <c r="E66" i="6"/>
  <c r="C66" i="6"/>
  <c r="E65" i="6"/>
  <c r="C65" i="6"/>
  <c r="E64" i="6"/>
  <c r="C64" i="6"/>
  <c r="E63" i="6"/>
  <c r="C63" i="6"/>
  <c r="E62" i="6"/>
  <c r="C62" i="6"/>
  <c r="E61" i="6"/>
  <c r="C61" i="6"/>
  <c r="E60" i="6"/>
  <c r="C60" i="6"/>
  <c r="E59" i="6"/>
  <c r="C59" i="6"/>
  <c r="E58" i="6"/>
  <c r="C58" i="6"/>
  <c r="E57" i="6"/>
  <c r="C57" i="6"/>
  <c r="E56" i="6"/>
  <c r="C56" i="6"/>
  <c r="E55" i="6"/>
  <c r="C55" i="6"/>
  <c r="E54" i="6"/>
  <c r="C54" i="6"/>
  <c r="E53" i="6"/>
  <c r="C53" i="6"/>
  <c r="E52" i="6"/>
  <c r="C52" i="6"/>
  <c r="E51" i="6"/>
  <c r="C51" i="6"/>
  <c r="E50" i="6"/>
  <c r="C50" i="6"/>
  <c r="E49" i="6"/>
  <c r="C49" i="6"/>
  <c r="E48" i="6"/>
  <c r="C48" i="6"/>
  <c r="E47" i="6"/>
  <c r="C47" i="6"/>
  <c r="E46" i="6"/>
  <c r="C46" i="6"/>
  <c r="E45" i="6"/>
  <c r="C45" i="6"/>
  <c r="E44" i="6"/>
  <c r="C44" i="6"/>
  <c r="E43" i="6"/>
  <c r="C43" i="6"/>
  <c r="E42" i="6"/>
  <c r="C42" i="6"/>
  <c r="E41" i="6"/>
  <c r="C41" i="6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E73" i="5"/>
  <c r="C73" i="5"/>
  <c r="E72" i="5"/>
  <c r="C72" i="5"/>
  <c r="E71" i="5"/>
  <c r="C71" i="5"/>
  <c r="E70" i="5"/>
  <c r="C70" i="5"/>
  <c r="E69" i="5"/>
  <c r="C69" i="5"/>
  <c r="E68" i="5"/>
  <c r="C68" i="5"/>
  <c r="E67" i="5"/>
  <c r="C67" i="5"/>
  <c r="E66" i="5"/>
  <c r="C66" i="5"/>
  <c r="E65" i="5"/>
  <c r="C65" i="5"/>
  <c r="E64" i="5"/>
  <c r="C64" i="5"/>
  <c r="E63" i="5"/>
  <c r="C63" i="5"/>
  <c r="E62" i="5"/>
  <c r="C62" i="5"/>
  <c r="E61" i="5"/>
  <c r="C61" i="5"/>
  <c r="E60" i="5"/>
  <c r="C60" i="5"/>
  <c r="E59" i="5"/>
  <c r="C59" i="5"/>
  <c r="E58" i="5"/>
  <c r="C58" i="5"/>
  <c r="E57" i="5"/>
  <c r="C57" i="5"/>
  <c r="E56" i="5"/>
  <c r="C56" i="5"/>
  <c r="E55" i="5"/>
  <c r="C55" i="5"/>
  <c r="E54" i="5"/>
  <c r="C54" i="5"/>
  <c r="E53" i="5"/>
  <c r="C53" i="5"/>
  <c r="E52" i="5"/>
  <c r="C52" i="5"/>
  <c r="E51" i="5"/>
  <c r="C51" i="5"/>
  <c r="E50" i="5"/>
  <c r="C50" i="5"/>
  <c r="E49" i="5"/>
  <c r="C49" i="5"/>
  <c r="E48" i="5"/>
  <c r="C48" i="5"/>
  <c r="E47" i="5"/>
  <c r="C47" i="5"/>
  <c r="E46" i="5"/>
  <c r="C46" i="5"/>
  <c r="E45" i="5"/>
  <c r="C45" i="5"/>
  <c r="E44" i="5"/>
  <c r="C44" i="5"/>
  <c r="E43" i="5"/>
  <c r="C43" i="5"/>
  <c r="E42" i="5"/>
  <c r="C42" i="5"/>
  <c r="E41" i="5"/>
  <c r="C41" i="5"/>
  <c r="R61" i="4"/>
  <c r="Q61" i="4"/>
  <c r="P61" i="4"/>
  <c r="O61" i="4"/>
  <c r="N61" i="4"/>
  <c r="M61" i="4"/>
  <c r="L61" i="4"/>
  <c r="K61" i="4"/>
  <c r="J61" i="4"/>
  <c r="I61" i="4"/>
  <c r="H61" i="4"/>
  <c r="G61" i="4"/>
  <c r="F61" i="4"/>
  <c r="E61" i="4"/>
  <c r="D61" i="4"/>
  <c r="C61" i="4"/>
  <c r="B61" i="4"/>
  <c r="R60" i="4"/>
  <c r="Q60" i="4"/>
  <c r="P60" i="4"/>
  <c r="O60" i="4"/>
  <c r="N60" i="4"/>
  <c r="M60" i="4"/>
  <c r="L60" i="4"/>
  <c r="K60" i="4"/>
  <c r="J60" i="4"/>
  <c r="I60" i="4"/>
  <c r="H60" i="4"/>
  <c r="G60" i="4"/>
  <c r="F60" i="4"/>
  <c r="E60" i="4"/>
  <c r="D60" i="4"/>
  <c r="C60" i="4"/>
  <c r="B60" i="4"/>
  <c r="E56" i="4"/>
  <c r="C56" i="4"/>
  <c r="E55" i="4"/>
  <c r="C55" i="4"/>
  <c r="E54" i="4"/>
  <c r="C54" i="4"/>
  <c r="E53" i="4"/>
  <c r="C53" i="4"/>
  <c r="E52" i="4"/>
  <c r="C52" i="4"/>
  <c r="E51" i="4"/>
  <c r="C51" i="4"/>
  <c r="E50" i="4"/>
  <c r="C50" i="4"/>
  <c r="E49" i="4"/>
  <c r="C49" i="4"/>
  <c r="E48" i="4"/>
  <c r="C48" i="4"/>
  <c r="E47" i="4"/>
  <c r="C47" i="4"/>
  <c r="E46" i="4"/>
  <c r="C46" i="4"/>
  <c r="E45" i="4"/>
  <c r="C45" i="4"/>
  <c r="E44" i="4"/>
  <c r="C44" i="4"/>
  <c r="E43" i="4"/>
  <c r="C43" i="4"/>
  <c r="E42" i="4"/>
  <c r="C42" i="4"/>
  <c r="E41" i="4"/>
  <c r="C41" i="4"/>
  <c r="R56" i="3"/>
  <c r="Q56" i="3"/>
  <c r="P56" i="3"/>
  <c r="O56" i="3"/>
  <c r="N56" i="3"/>
  <c r="M56" i="3"/>
  <c r="L56" i="3"/>
  <c r="K56" i="3"/>
  <c r="J56" i="3"/>
  <c r="I56" i="3"/>
  <c r="H56" i="3"/>
  <c r="G56" i="3"/>
  <c r="F56" i="3"/>
  <c r="E56" i="3"/>
  <c r="D56" i="3"/>
  <c r="C56" i="3"/>
  <c r="B56" i="3"/>
  <c r="R55" i="3"/>
  <c r="Q55" i="3"/>
  <c r="P55" i="3"/>
  <c r="O55" i="3"/>
  <c r="N55" i="3"/>
  <c r="M55" i="3"/>
  <c r="L55" i="3"/>
  <c r="K55" i="3"/>
  <c r="J55" i="3"/>
  <c r="I55" i="3"/>
  <c r="H55" i="3"/>
  <c r="G55" i="3"/>
  <c r="F55" i="3"/>
  <c r="E55" i="3"/>
  <c r="D55" i="3"/>
  <c r="C55" i="3"/>
  <c r="B55" i="3"/>
  <c r="E51" i="3"/>
  <c r="C51" i="3"/>
  <c r="E50" i="3"/>
  <c r="C50" i="3"/>
  <c r="E49" i="3"/>
  <c r="C49" i="3"/>
  <c r="E48" i="3"/>
  <c r="C48" i="3"/>
  <c r="E47" i="3"/>
  <c r="C47" i="3"/>
  <c r="E46" i="3"/>
  <c r="C46" i="3"/>
  <c r="E45" i="3"/>
  <c r="C45" i="3"/>
  <c r="E44" i="3"/>
  <c r="C44" i="3"/>
  <c r="E43" i="3"/>
  <c r="C43" i="3"/>
  <c r="E42" i="3"/>
  <c r="C42" i="3"/>
  <c r="E41" i="3"/>
  <c r="C41" i="3"/>
  <c r="R62" i="2"/>
  <c r="Q62" i="2"/>
  <c r="P62" i="2"/>
  <c r="O62" i="2"/>
  <c r="N62" i="2"/>
  <c r="M62" i="2"/>
  <c r="L62" i="2"/>
  <c r="K62" i="2"/>
  <c r="J62" i="2"/>
  <c r="I62" i="2"/>
  <c r="H62" i="2"/>
  <c r="G62" i="2"/>
  <c r="F62" i="2"/>
  <c r="E62" i="2"/>
  <c r="D62" i="2"/>
  <c r="C62" i="2"/>
  <c r="B62" i="2"/>
  <c r="R61" i="2"/>
  <c r="Q61" i="2"/>
  <c r="P61" i="2"/>
  <c r="O61" i="2"/>
  <c r="N61" i="2"/>
  <c r="M61" i="2"/>
  <c r="L61" i="2"/>
  <c r="K61" i="2"/>
  <c r="J61" i="2"/>
  <c r="I61" i="2"/>
  <c r="H61" i="2"/>
  <c r="G61" i="2"/>
  <c r="F61" i="2"/>
  <c r="E61" i="2"/>
  <c r="D61" i="2"/>
  <c r="C61" i="2"/>
  <c r="B61" i="2"/>
  <c r="E57" i="2"/>
  <c r="C57" i="2"/>
  <c r="E56" i="2"/>
  <c r="C56" i="2"/>
  <c r="E55" i="2"/>
  <c r="C55" i="2"/>
  <c r="E54" i="2"/>
  <c r="C54" i="2"/>
  <c r="E53" i="2"/>
  <c r="C53" i="2"/>
  <c r="E52" i="2"/>
  <c r="C52" i="2"/>
  <c r="E51" i="2"/>
  <c r="C51" i="2"/>
  <c r="E50" i="2"/>
  <c r="C50" i="2"/>
  <c r="E49" i="2"/>
  <c r="C49" i="2"/>
  <c r="E48" i="2"/>
  <c r="C48" i="2"/>
  <c r="E47" i="2"/>
  <c r="C47" i="2"/>
  <c r="E46" i="2"/>
  <c r="C46" i="2"/>
  <c r="E45" i="2"/>
  <c r="C45" i="2"/>
  <c r="E44" i="2"/>
  <c r="C44" i="2"/>
  <c r="E43" i="2"/>
  <c r="C43" i="2"/>
  <c r="E42" i="2"/>
  <c r="C42" i="2"/>
  <c r="E41" i="2"/>
  <c r="C41" i="2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B62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B61" i="1"/>
  <c r="E57" i="1"/>
  <c r="C57" i="1"/>
  <c r="E56" i="1"/>
  <c r="C56" i="1"/>
  <c r="E55" i="1"/>
  <c r="C55" i="1"/>
  <c r="E54" i="1"/>
  <c r="C54" i="1"/>
  <c r="E53" i="1"/>
  <c r="C53" i="1"/>
  <c r="E52" i="1"/>
  <c r="C52" i="1"/>
  <c r="E51" i="1"/>
  <c r="C51" i="1"/>
  <c r="E50" i="1"/>
  <c r="C50" i="1"/>
  <c r="E49" i="1"/>
  <c r="C49" i="1"/>
  <c r="E48" i="1"/>
  <c r="C48" i="1"/>
  <c r="E47" i="1"/>
  <c r="C47" i="1"/>
  <c r="E46" i="1"/>
  <c r="C46" i="1"/>
  <c r="E45" i="1"/>
  <c r="C45" i="1"/>
  <c r="E44" i="1"/>
  <c r="C44" i="1"/>
  <c r="E43" i="1"/>
  <c r="C43" i="1"/>
  <c r="E42" i="1"/>
  <c r="C42" i="1"/>
  <c r="E41" i="1"/>
  <c r="C41" i="1"/>
</calcChain>
</file>

<file path=xl/sharedStrings.xml><?xml version="1.0" encoding="utf-8"?>
<sst xmlns="http://schemas.openxmlformats.org/spreadsheetml/2006/main" count="294" uniqueCount="44">
  <si>
    <t>P01, 0411, P59</t>
  </si>
  <si>
    <t>Injector Type:</t>
  </si>
  <si>
    <t>HP525M</t>
  </si>
  <si>
    <t>Matched Set:</t>
  </si>
  <si>
    <t>None selected</t>
  </si>
  <si>
    <t>Report Date:</t>
  </si>
  <si>
    <t>18/05/2022</t>
  </si>
  <si>
    <t>Reference Pressure (gauge):</t>
  </si>
  <si>
    <t>kPa</t>
  </si>
  <si>
    <t>Reference Voltage (gauge):</t>
  </si>
  <si>
    <t>V</t>
  </si>
  <si>
    <t>Minimum Pulse Width:</t>
  </si>
  <si>
    <t>ms</t>
  </si>
  <si>
    <t>Static Flow</t>
  </si>
  <si>
    <t>Scaling</t>
  </si>
  <si>
    <t>%</t>
  </si>
  <si>
    <t>Edit to update</t>
  </si>
  <si>
    <t>Stoich (Petrol)</t>
  </si>
  <si>
    <t>Stoich (Ethanol)</t>
  </si>
  <si>
    <t>Manifold Vacuum [kPa]</t>
  </si>
  <si>
    <t>Flow [lb/h]</t>
  </si>
  <si>
    <t>Flow (Scaled) [lb/h]</t>
  </si>
  <si>
    <t>Flow [g/s]</t>
  </si>
  <si>
    <t>Flow (Scaled) [g/s]</t>
  </si>
  <si>
    <t>Air Fuel Ratio</t>
  </si>
  <si>
    <t>Ethonol Percentage [%]</t>
  </si>
  <si>
    <t>Stoich</t>
  </si>
  <si>
    <t>Stoich  (Scaled)</t>
  </si>
  <si>
    <t>Battery Offsets</t>
  </si>
  <si>
    <t>Table data (Offset) [ms]</t>
  </si>
  <si>
    <t>Battery Voltage [V]</t>
  </si>
  <si>
    <t>Short Pulse Adder</t>
  </si>
  <si>
    <t>Short Pulse Limit:</t>
  </si>
  <si>
    <t>Effective Pulse Width [ms]</t>
  </si>
  <si>
    <t>Adder [ms]</t>
  </si>
  <si>
    <t>E40</t>
  </si>
  <si>
    <t>P04</t>
  </si>
  <si>
    <t>P05</t>
  </si>
  <si>
    <t>P12</t>
  </si>
  <si>
    <t>E37, E38 (&lt;2009)</t>
  </si>
  <si>
    <t>Differential Pressure [kPa]</t>
  </si>
  <si>
    <t>E38 (2009+), E67, E78</t>
  </si>
  <si>
    <t>Generic</t>
  </si>
  <si>
    <t>Pressures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</si>
</sst>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"/>
    <numFmt numFmtId="165" formatCode="0.###"/>
    <numFmt numFmtId="166" formatCode="0.0"/>
    <numFmt numFmtId="167" formatCode="0.0000"/>
  </numFmts>
  <fonts count="3" x14ac:knownFonts="1">
    <font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DDDDDD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99"/>
        <bgColor indexed="64"/>
      </patternFill>
    </fill>
  </fills>
  <borders count="1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164" fontId="2" fillId="2" borderId="1" xfId="0" applyNumberFormat="1" applyFont="1" applyFill="1" applyBorder="1"/>
    <xf numFmtId="164" fontId="0" fillId="3" borderId="2" xfId="0" applyNumberFormat="1" applyFill="1" applyBorder="1"/>
    <xf numFmtId="164" fontId="0" fillId="3" borderId="3" xfId="0" applyNumberFormat="1" applyFill="1" applyBorder="1"/>
    <xf numFmtId="164" fontId="2" fillId="2" borderId="4" xfId="0" applyNumberFormat="1" applyFont="1" applyFill="1" applyBorder="1"/>
    <xf numFmtId="164" fontId="0" fillId="3" borderId="0" xfId="0" applyNumberFormat="1" applyFill="1"/>
    <xf numFmtId="164" fontId="0" fillId="3" borderId="5" xfId="0" applyNumberFormat="1" applyFill="1" applyBorder="1"/>
    <xf numFmtId="164" fontId="2" fillId="2" borderId="6" xfId="0" applyNumberFormat="1" applyFont="1" applyFill="1" applyBorder="1"/>
    <xf numFmtId="164" fontId="0" fillId="3" borderId="7" xfId="0" applyNumberFormat="1" applyFill="1" applyBorder="1"/>
    <xf numFmtId="164" fontId="0" fillId="3" borderId="8" xfId="0" applyNumberFormat="1" applyFill="1" applyBorder="1"/>
    <xf numFmtId="1" fontId="0" fillId="3" borderId="2" xfId="0" applyNumberFormat="1" applyFill="1" applyBorder="1"/>
    <xf numFmtId="1" fontId="0" fillId="3" borderId="3" xfId="0" applyNumberFormat="1" applyFill="1" applyBorder="1"/>
    <xf numFmtId="1" fontId="0" fillId="3" borderId="0" xfId="0" applyNumberFormat="1" applyFill="1"/>
    <xf numFmtId="1" fontId="0" fillId="3" borderId="5" xfId="0" applyNumberFormat="1" applyFill="1" applyBorder="1"/>
    <xf numFmtId="1" fontId="0" fillId="3" borderId="7" xfId="0" applyNumberFormat="1" applyFill="1" applyBorder="1"/>
    <xf numFmtId="1" fontId="0" fillId="3" borderId="8" xfId="0" applyNumberFormat="1" applyFill="1" applyBorder="1"/>
    <xf numFmtId="165" fontId="2" fillId="4" borderId="9" xfId="0" applyNumberFormat="1" applyFont="1" applyFill="1" applyBorder="1"/>
    <xf numFmtId="1" fontId="2" fillId="2" borderId="10" xfId="0" applyNumberFormat="1" applyFont="1" applyFill="1" applyBorder="1" applyAlignment="1">
      <alignment wrapText="1"/>
    </xf>
    <xf numFmtId="1" fontId="2" fillId="2" borderId="11" xfId="0" applyNumberFormat="1" applyFont="1" applyFill="1" applyBorder="1" applyAlignment="1">
      <alignment wrapText="1"/>
    </xf>
    <xf numFmtId="1" fontId="2" fillId="2" borderId="12" xfId="0" applyNumberFormat="1" applyFont="1" applyFill="1" applyBorder="1" applyAlignment="1">
      <alignment wrapText="1"/>
    </xf>
    <xf numFmtId="2" fontId="2" fillId="2" borderId="10" xfId="0" applyNumberFormat="1" applyFont="1" applyFill="1" applyBorder="1" applyAlignment="1">
      <alignment wrapText="1"/>
    </xf>
    <xf numFmtId="2" fontId="2" fillId="2" borderId="11" xfId="0" applyNumberFormat="1" applyFont="1" applyFill="1" applyBorder="1" applyAlignment="1">
      <alignment wrapText="1"/>
    </xf>
    <xf numFmtId="2" fontId="2" fillId="2" borderId="12" xfId="0" applyNumberFormat="1" applyFont="1" applyFill="1" applyBorder="1" applyAlignment="1">
      <alignment wrapText="1"/>
    </xf>
    <xf numFmtId="166" fontId="2" fillId="2" borderId="1" xfId="0" applyNumberFormat="1" applyFont="1" applyFill="1" applyBorder="1"/>
    <xf numFmtId="166" fontId="2" fillId="2" borderId="2" xfId="0" applyNumberFormat="1" applyFont="1" applyFill="1" applyBorder="1"/>
    <xf numFmtId="166" fontId="2" fillId="2" borderId="3" xfId="0" applyNumberFormat="1" applyFont="1" applyFill="1" applyBorder="1"/>
    <xf numFmtId="166" fontId="2" fillId="2" borderId="13" xfId="0" applyNumberFormat="1" applyFont="1" applyFill="1" applyBorder="1"/>
    <xf numFmtId="166" fontId="2" fillId="2" borderId="14" xfId="0" applyNumberFormat="1" applyFont="1" applyFill="1" applyBorder="1"/>
    <xf numFmtId="166" fontId="2" fillId="2" borderId="15" xfId="0" applyNumberFormat="1" applyFont="1" applyFill="1" applyBorder="1"/>
    <xf numFmtId="166" fontId="2" fillId="2" borderId="4" xfId="0" applyNumberFormat="1" applyFont="1" applyFill="1" applyBorder="1"/>
    <xf numFmtId="167" fontId="0" fillId="3" borderId="0" xfId="0" applyNumberFormat="1" applyFill="1"/>
    <xf numFmtId="167" fontId="0" fillId="3" borderId="5" xfId="0" applyNumberFormat="1" applyFill="1" applyBorder="1"/>
    <xf numFmtId="166" fontId="2" fillId="2" borderId="6" xfId="0" applyNumberFormat="1" applyFont="1" applyFill="1" applyBorder="1"/>
    <xf numFmtId="167" fontId="0" fillId="3" borderId="7" xfId="0" applyNumberFormat="1" applyFill="1" applyBorder="1"/>
    <xf numFmtId="167" fontId="0" fillId="3" borderId="8" xfId="0" applyNumberForma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73D96E3-F586-435B-AE23-82D1398938B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64D79E1A-2D40-40BF-BA17-55B3FDAC4E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CC4A609-809F-4732-8F28-FC0DDE61132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557172F-76F4-4324-A5B2-4F97E7ECA3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23D7A35-D7BF-44F4-BB4B-58EEC7E66F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A6C1F0B-27D6-480B-99C9-A7A6764A0C5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C8A33C00-AF34-4EA9-B04B-D6630966F3A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4</xdr:col>
      <xdr:colOff>314325</xdr:colOff>
      <xdr:row>10</xdr:row>
      <xdr:rowOff>46494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23F2C7A5-01A1-4733-A8F2-38342FD36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90500"/>
          <a:ext cx="4191000" cy="176099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5:AC160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0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300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11</v>
      </c>
      <c r="B30" s="6">
        <v>0.46</v>
      </c>
      <c r="C30" s="6" t="s">
        <v>12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13</v>
      </c>
    </row>
    <row r="36" spans="1:5" x14ac:dyDescent="0.25">
      <c r="A36" s="17" t="s">
        <v>14</v>
      </c>
      <c r="B36" s="17">
        <v>100</v>
      </c>
      <c r="C36" s="17" t="s">
        <v>15</v>
      </c>
      <c r="D36" s="17" t="s">
        <v>16</v>
      </c>
      <c r="E36" s="17"/>
    </row>
    <row r="37" spans="1:5" hidden="1" x14ac:dyDescent="0.25">
      <c r="A37" s="17" t="s">
        <v>17</v>
      </c>
      <c r="B37" s="17">
        <v>14.7</v>
      </c>
      <c r="C37" s="17"/>
      <c r="D37" s="17" t="s">
        <v>16</v>
      </c>
      <c r="E37" s="17"/>
    </row>
    <row r="38" spans="1:5" hidden="1" x14ac:dyDescent="0.25">
      <c r="A38" s="17" t="s">
        <v>18</v>
      </c>
      <c r="B38" s="17">
        <v>9.0079999999999991</v>
      </c>
      <c r="C38" s="17"/>
      <c r="D38" s="17" t="s">
        <v>16</v>
      </c>
      <c r="E38" s="17"/>
    </row>
    <row r="40" spans="1:5" ht="48" customHeight="1" x14ac:dyDescent="0.25">
      <c r="A40" s="18" t="s">
        <v>19</v>
      </c>
      <c r="B40" s="19" t="s">
        <v>20</v>
      </c>
      <c r="C40" s="19" t="s">
        <v>21</v>
      </c>
      <c r="D40" s="19" t="s">
        <v>22</v>
      </c>
      <c r="E40" s="20" t="s">
        <v>23</v>
      </c>
    </row>
    <row r="41" spans="1:5" x14ac:dyDescent="0.25">
      <c r="A41" s="5">
        <v>0</v>
      </c>
      <c r="B41" s="6">
        <v>58.362404980687486</v>
      </c>
      <c r="C41" s="6">
        <f>58.3624049806874 * $B$36 / 100</f>
        <v>58.362404980687394</v>
      </c>
      <c r="D41" s="6">
        <v>7.3535333333333339</v>
      </c>
      <c r="E41" s="7">
        <f>7.35353333333333 * $B$36 / 100</f>
        <v>7.3535333333333304</v>
      </c>
    </row>
    <row r="42" spans="1:5" x14ac:dyDescent="0.25">
      <c r="A42" s="5">
        <v>5</v>
      </c>
      <c r="B42" s="6">
        <v>58.714375473994252</v>
      </c>
      <c r="C42" s="6">
        <f>58.7143754739942 * $B$36 / 100</f>
        <v>58.714375473994203</v>
      </c>
      <c r="D42" s="6">
        <v>7.3978808333333328</v>
      </c>
      <c r="E42" s="7">
        <f>7.39788083333333 * $B$36 / 100</f>
        <v>7.3978808333333301</v>
      </c>
    </row>
    <row r="43" spans="1:5" x14ac:dyDescent="0.25">
      <c r="A43" s="5">
        <v>10</v>
      </c>
      <c r="B43" s="6">
        <v>59.066345967301011</v>
      </c>
      <c r="C43" s="6">
        <f>59.066345967301 * $B$36 / 100</f>
        <v>59.066345967300997</v>
      </c>
      <c r="D43" s="6">
        <v>7.4422283333333326</v>
      </c>
      <c r="E43" s="7">
        <f>7.44222833333333 * $B$36 / 100</f>
        <v>7.4422283333333299</v>
      </c>
    </row>
    <row r="44" spans="1:5" x14ac:dyDescent="0.25">
      <c r="A44" s="5">
        <v>15</v>
      </c>
      <c r="B44" s="6">
        <v>59.41831646060777</v>
      </c>
      <c r="C44" s="6">
        <f>59.4183164606077 * $B$36 / 100</f>
        <v>59.418316460607706</v>
      </c>
      <c r="D44" s="6">
        <v>7.4865758333333332</v>
      </c>
      <c r="E44" s="7">
        <f>7.48657583333333 * $B$36 / 100</f>
        <v>7.4865758333333297</v>
      </c>
    </row>
    <row r="45" spans="1:5" x14ac:dyDescent="0.25">
      <c r="A45" s="5">
        <v>20</v>
      </c>
      <c r="B45" s="6">
        <v>59.770286953914542</v>
      </c>
      <c r="C45" s="6">
        <f>59.7702869539145 * $B$36 / 100</f>
        <v>59.7702869539145</v>
      </c>
      <c r="D45" s="6">
        <v>7.5309233333333339</v>
      </c>
      <c r="E45" s="7">
        <f>7.53092333333333 * $B$36 / 100</f>
        <v>7.5309233333333303</v>
      </c>
    </row>
    <row r="46" spans="1:5" x14ac:dyDescent="0.25">
      <c r="A46" s="5">
        <v>25</v>
      </c>
      <c r="B46" s="6">
        <v>60.122257447221287</v>
      </c>
      <c r="C46" s="6">
        <f>60.1222574472212 * $B$36 / 100</f>
        <v>60.122257447221202</v>
      </c>
      <c r="D46" s="6">
        <v>7.5752708333333327</v>
      </c>
      <c r="E46" s="7">
        <f>7.57527083333333 * $B$36 / 100</f>
        <v>7.575270833333331</v>
      </c>
    </row>
    <row r="47" spans="1:5" x14ac:dyDescent="0.25">
      <c r="A47" s="5">
        <v>30</v>
      </c>
      <c r="B47" s="6">
        <v>60.474227940528053</v>
      </c>
      <c r="C47" s="6">
        <f>60.474227940528 * $B$36 / 100</f>
        <v>60.474227940527996</v>
      </c>
      <c r="D47" s="6">
        <v>7.6196183333333334</v>
      </c>
      <c r="E47" s="7">
        <f>7.61961833333333 * $B$36 / 100</f>
        <v>7.6196183333333298</v>
      </c>
    </row>
    <row r="48" spans="1:5" x14ac:dyDescent="0.25">
      <c r="A48" s="5">
        <v>35</v>
      </c>
      <c r="B48" s="6">
        <v>60.826198433834811</v>
      </c>
      <c r="C48" s="6">
        <f>60.8261984338348 * $B$36 / 100</f>
        <v>60.826198433834797</v>
      </c>
      <c r="D48" s="6">
        <v>7.6639658333333331</v>
      </c>
      <c r="E48" s="7">
        <f>7.66396583333333 * $B$36 / 100</f>
        <v>7.6639658333333296</v>
      </c>
    </row>
    <row r="49" spans="1:18" x14ac:dyDescent="0.25">
      <c r="A49" s="5">
        <v>40</v>
      </c>
      <c r="B49" s="6">
        <v>61.17816892714157</v>
      </c>
      <c r="C49" s="6">
        <f>61.1781689271415 * $B$36 / 100</f>
        <v>61.178168927141499</v>
      </c>
      <c r="D49" s="6">
        <v>7.7083133333333329</v>
      </c>
      <c r="E49" s="7">
        <f>7.70831333333333 * $B$36 / 100</f>
        <v>7.7083133333333311</v>
      </c>
    </row>
    <row r="50" spans="1:18" x14ac:dyDescent="0.25">
      <c r="A50" s="5">
        <v>45</v>
      </c>
      <c r="B50" s="6">
        <v>61.530139420448329</v>
      </c>
      <c r="C50" s="6">
        <f>61.5301394204483 * $B$36 / 100</f>
        <v>61.530139420448307</v>
      </c>
      <c r="D50" s="6">
        <v>7.7526608333333327</v>
      </c>
      <c r="E50" s="7">
        <f>7.75266083333333 * $B$36 / 100</f>
        <v>7.75266083333333</v>
      </c>
    </row>
    <row r="51" spans="1:18" x14ac:dyDescent="0.25">
      <c r="A51" s="5">
        <v>50</v>
      </c>
      <c r="B51" s="6">
        <v>61.882109913755087</v>
      </c>
      <c r="C51" s="6">
        <f>61.882109913755 * $B$36 / 100</f>
        <v>61.882109913755002</v>
      </c>
      <c r="D51" s="6">
        <v>7.7970083333333324</v>
      </c>
      <c r="E51" s="7">
        <f>7.79700833333333 * $B$36 / 100</f>
        <v>7.7970083333333298</v>
      </c>
    </row>
    <row r="52" spans="1:18" x14ac:dyDescent="0.25">
      <c r="A52" s="5">
        <v>55</v>
      </c>
      <c r="B52" s="6">
        <v>62.234080407061853</v>
      </c>
      <c r="C52" s="6">
        <f>62.2340804070618 * $B$36 / 100</f>
        <v>62.234080407061803</v>
      </c>
      <c r="D52" s="6">
        <v>7.8413558333333331</v>
      </c>
      <c r="E52" s="7">
        <f>7.84135583333333 * $B$36 / 100</f>
        <v>7.8413558333333295</v>
      </c>
    </row>
    <row r="53" spans="1:18" x14ac:dyDescent="0.25">
      <c r="A53" s="5">
        <v>60</v>
      </c>
      <c r="B53" s="6">
        <v>62.586050900368612</v>
      </c>
      <c r="C53" s="6">
        <f>62.5860509003686 * $B$36 / 100</f>
        <v>62.586050900368598</v>
      </c>
      <c r="D53" s="6">
        <v>7.8857033333333328</v>
      </c>
      <c r="E53" s="7">
        <f>7.88570333333333 * $B$36 / 100</f>
        <v>7.8857033333333302</v>
      </c>
    </row>
    <row r="54" spans="1:18" x14ac:dyDescent="0.25">
      <c r="A54" s="5">
        <v>65</v>
      </c>
      <c r="B54" s="6">
        <v>62.938021393675371</v>
      </c>
      <c r="C54" s="6">
        <f>62.9380213936753 * $B$36 / 100</f>
        <v>62.938021393675299</v>
      </c>
      <c r="D54" s="6">
        <v>7.9300508333333326</v>
      </c>
      <c r="E54" s="7">
        <f>7.93005083333333 * $B$36 / 100</f>
        <v>7.9300508333333299</v>
      </c>
    </row>
    <row r="55" spans="1:18" x14ac:dyDescent="0.25">
      <c r="A55" s="5">
        <v>70</v>
      </c>
      <c r="B55" s="6">
        <v>63.289991886982129</v>
      </c>
      <c r="C55" s="6">
        <f>63.2899918869821 * $B$36 / 100</f>
        <v>63.289991886982101</v>
      </c>
      <c r="D55" s="6">
        <v>7.9743983333333324</v>
      </c>
      <c r="E55" s="7">
        <f>7.97439833333333 * $B$36 / 100</f>
        <v>7.9743983333333297</v>
      </c>
    </row>
    <row r="56" spans="1:18" x14ac:dyDescent="0.25">
      <c r="A56" s="5">
        <v>75</v>
      </c>
      <c r="B56" s="6">
        <v>63.641962380288888</v>
      </c>
      <c r="C56" s="6">
        <f>63.6419623802888 * $B$36 / 100</f>
        <v>63.641962380288803</v>
      </c>
      <c r="D56" s="6">
        <v>8.0187458333333321</v>
      </c>
      <c r="E56" s="7">
        <f>8.01874583333333 * $B$36 / 100</f>
        <v>8.0187458333333304</v>
      </c>
    </row>
    <row r="57" spans="1:18" x14ac:dyDescent="0.25">
      <c r="A57" s="8">
        <v>80</v>
      </c>
      <c r="B57" s="9">
        <v>63.993932873595647</v>
      </c>
      <c r="C57" s="9">
        <f>63.9939328735956 * $B$36 / 100</f>
        <v>63.993932873595597</v>
      </c>
      <c r="D57" s="9">
        <v>8.0630933333333328</v>
      </c>
      <c r="E57" s="10">
        <f>8.06309333333333 * $B$36 / 100</f>
        <v>8.0630933333333292</v>
      </c>
    </row>
    <row r="59" spans="1:18" ht="28.9" customHeight="1" x14ac:dyDescent="0.5">
      <c r="A59" s="1" t="s">
        <v>24</v>
      </c>
      <c r="B59" s="1"/>
    </row>
    <row r="60" spans="1:18" x14ac:dyDescent="0.25">
      <c r="A60" s="21" t="s">
        <v>25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26</v>
      </c>
      <c r="B61" s="6">
        <f>0 * $B$38 + (1 - 0) * $B$37</f>
        <v>14.7</v>
      </c>
      <c r="C61" s="6">
        <f>0.0625 * $B$38 + (1 - 0.0625) * $B$37</f>
        <v>14.344250000000001</v>
      </c>
      <c r="D61" s="6">
        <f>0.125 * $B$38 + (1 - 0.125) * $B$37</f>
        <v>13.988499999999998</v>
      </c>
      <c r="E61" s="6">
        <f>0.1875 * $B$38 + (1 - 0.1875) * $B$37</f>
        <v>13.63275</v>
      </c>
      <c r="F61" s="6">
        <f>0.25 * $B$38 + (1 - 0.25) * $B$37</f>
        <v>13.276999999999997</v>
      </c>
      <c r="G61" s="6">
        <f>0.3125 * $B$38 + (1 - 0.3125) * $B$37</f>
        <v>12.921249999999999</v>
      </c>
      <c r="H61" s="6">
        <f>0.375 * $B$38 + (1 - 0.375) * $B$37</f>
        <v>12.5655</v>
      </c>
      <c r="I61" s="6">
        <f>0.4375 * $B$38 + (1 - 0.4375) * $B$37</f>
        <v>12.20975</v>
      </c>
      <c r="J61" s="6">
        <f>0.5 * $B$38 + (1 - 0.5) * $B$37</f>
        <v>11.853999999999999</v>
      </c>
      <c r="K61" s="6">
        <f>0.5625 * $B$38 + (1 - 0.5625) * $B$37</f>
        <v>11.498249999999999</v>
      </c>
      <c r="L61" s="6">
        <f>0.625 * $B$38 + (1 - 0.625) * $B$37</f>
        <v>11.142499999999998</v>
      </c>
      <c r="M61" s="6">
        <f>0.6875 * $B$38 + (1 - 0.6875) * $B$37</f>
        <v>10.78675</v>
      </c>
      <c r="N61" s="6">
        <f>0.75 * $B$38 + (1 - 0.75) * $B$37</f>
        <v>10.430999999999999</v>
      </c>
      <c r="O61" s="6">
        <f>0.8125 * $B$38 + (1 - 0.8125) * $B$37</f>
        <v>10.075249999999999</v>
      </c>
      <c r="P61" s="6">
        <f>0.875 * $B$38 + (1 - 0.875) * $B$37</f>
        <v>9.7195</v>
      </c>
      <c r="Q61" s="6">
        <f>0.9375 * $B$38 + (1 - 0.9375) * $B$37</f>
        <v>9.3637499999999978</v>
      </c>
      <c r="R61" s="7">
        <f>1 * $B$38 + (1 - 1) * $B$37</f>
        <v>9.0079999999999991</v>
      </c>
    </row>
    <row r="62" spans="1:18" x14ac:dyDescent="0.25">
      <c r="A62" s="8" t="s">
        <v>27</v>
      </c>
      <c r="B62" s="9">
        <f>(0 * $B$38 + (1 - 0) * $B$37) * $B$36 / 100</f>
        <v>14.7</v>
      </c>
      <c r="C62" s="9">
        <f>(0.0625 * $B$38 + (1 - 0.0625) * $B$37) * $B$36 / 100</f>
        <v>14.344249999999999</v>
      </c>
      <c r="D62" s="9">
        <f>(0.125 * $B$38 + (1 - 0.125) * $B$37) * $B$36 / 100</f>
        <v>13.988499999999998</v>
      </c>
      <c r="E62" s="9">
        <f>(0.1875 * $B$38 + (1 - 0.1875) * $B$37) * $B$36 / 100</f>
        <v>13.632749999999998</v>
      </c>
      <c r="F62" s="9">
        <f>(0.25 * $B$38 + (1 - 0.25) * $B$37) * $B$36 / 100</f>
        <v>13.276999999999997</v>
      </c>
      <c r="G62" s="9">
        <f>(0.3125 * $B$38 + (1 - 0.3125) * $B$37) * $B$36 / 100</f>
        <v>12.921249999999997</v>
      </c>
      <c r="H62" s="9">
        <f>(0.375 * $B$38 + (1 - 0.375) * $B$37) * $B$36 / 100</f>
        <v>12.5655</v>
      </c>
      <c r="I62" s="9">
        <f>(0.4375 * $B$38 + (1 - 0.4375) * $B$37) * $B$36 / 100</f>
        <v>12.20975</v>
      </c>
      <c r="J62" s="9">
        <f>(0.5 * $B$38 + (1 - 0.5) * $B$37) * $B$36 / 100</f>
        <v>11.853999999999999</v>
      </c>
      <c r="K62" s="9">
        <f>(0.5625 * $B$38 + (1 - 0.5625) * $B$37) * $B$36 / 100</f>
        <v>11.498249999999999</v>
      </c>
      <c r="L62" s="9">
        <f>(0.625 * $B$38 + (1 - 0.625) * $B$37) * $B$36 / 100</f>
        <v>11.142499999999998</v>
      </c>
      <c r="M62" s="9">
        <f>(0.6875 * $B$38 + (1 - 0.6875) * $B$37) * $B$36 / 100</f>
        <v>10.78675</v>
      </c>
      <c r="N62" s="9">
        <f>(0.75 * $B$38 + (1 - 0.75) * $B$37) * $B$36 / 100</f>
        <v>10.430999999999999</v>
      </c>
      <c r="O62" s="9">
        <f>(0.8125 * $B$38 + (1 - 0.8125) * $B$37) * $B$36 / 100</f>
        <v>10.075249999999999</v>
      </c>
      <c r="P62" s="9">
        <f>(0.875 * $B$38 + (1 - 0.875) * $B$37) * $B$36 / 100</f>
        <v>9.7195</v>
      </c>
      <c r="Q62" s="9">
        <f>(0.9375 * $B$38 + (1 - 0.9375) * $B$37) * $B$36 / 100</f>
        <v>9.3637499999999978</v>
      </c>
      <c r="R62" s="10">
        <f>(1 * $B$38 + (1 - 1) * $B$37) * $B$36 / 100</f>
        <v>9.0079999999999991</v>
      </c>
    </row>
    <row r="64" spans="1:18" ht="28.9" customHeight="1" x14ac:dyDescent="0.5">
      <c r="A64" s="1" t="s">
        <v>28</v>
      </c>
      <c r="B64" s="1"/>
    </row>
    <row r="65" spans="1:29" x14ac:dyDescent="0.25">
      <c r="A65" s="24" t="s">
        <v>29</v>
      </c>
      <c r="B65" s="25" t="s">
        <v>30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6"/>
    </row>
    <row r="66" spans="1:29" x14ac:dyDescent="0.25">
      <c r="A66" s="27" t="s">
        <v>19</v>
      </c>
      <c r="B66" s="28">
        <v>4.5</v>
      </c>
      <c r="C66" s="28">
        <v>5</v>
      </c>
      <c r="D66" s="28">
        <v>5.5</v>
      </c>
      <c r="E66" s="28">
        <v>6</v>
      </c>
      <c r="F66" s="28">
        <v>6.5</v>
      </c>
      <c r="G66" s="28">
        <v>7</v>
      </c>
      <c r="H66" s="28">
        <v>7.5</v>
      </c>
      <c r="I66" s="28">
        <v>8</v>
      </c>
      <c r="J66" s="28">
        <v>8.5</v>
      </c>
      <c r="K66" s="28">
        <v>9</v>
      </c>
      <c r="L66" s="28">
        <v>9.5</v>
      </c>
      <c r="M66" s="28">
        <v>10</v>
      </c>
      <c r="N66" s="28">
        <v>10.5</v>
      </c>
      <c r="O66" s="28">
        <v>11</v>
      </c>
      <c r="P66" s="28">
        <v>11.5</v>
      </c>
      <c r="Q66" s="28">
        <v>12</v>
      </c>
      <c r="R66" s="28">
        <v>12.5</v>
      </c>
      <c r="S66" s="28">
        <v>13</v>
      </c>
      <c r="T66" s="28">
        <v>13.5</v>
      </c>
      <c r="U66" s="28">
        <v>14</v>
      </c>
      <c r="V66" s="28">
        <v>14.5</v>
      </c>
      <c r="W66" s="28">
        <v>15</v>
      </c>
      <c r="X66" s="28">
        <v>15.5</v>
      </c>
      <c r="Y66" s="28">
        <v>16</v>
      </c>
      <c r="Z66" s="28">
        <v>16.5</v>
      </c>
      <c r="AA66" s="28">
        <v>17</v>
      </c>
      <c r="AB66" s="28">
        <v>17.5</v>
      </c>
      <c r="AC66" s="29">
        <v>18</v>
      </c>
    </row>
    <row r="67" spans="1:29" x14ac:dyDescent="0.25">
      <c r="A67" s="30">
        <v>0</v>
      </c>
      <c r="B67" s="31">
        <v>5.5127764118920934</v>
      </c>
      <c r="C67" s="31">
        <v>4.8707456760223726</v>
      </c>
      <c r="D67" s="31">
        <v>4.2981990373554524</v>
      </c>
      <c r="E67" s="31">
        <v>3.789671280436556</v>
      </c>
      <c r="F67" s="31">
        <v>3.339921076664671</v>
      </c>
      <c r="G67" s="31">
        <v>2.9439309842925372</v>
      </c>
      <c r="H67" s="31">
        <v>2.5969074484266428</v>
      </c>
      <c r="I67" s="31">
        <v>2.2942808010272349</v>
      </c>
      <c r="J67" s="31">
        <v>2.0317052609083142</v>
      </c>
      <c r="K67" s="31">
        <v>1.8050589337376299</v>
      </c>
      <c r="L67" s="31">
        <v>1.610443812036694</v>
      </c>
      <c r="M67" s="31">
        <v>1.444185775180757</v>
      </c>
      <c r="N67" s="31">
        <v>1.302834589398848</v>
      </c>
      <c r="O67" s="31">
        <v>1.183163907773719</v>
      </c>
      <c r="P67" s="31">
        <v>1.0821712702419031</v>
      </c>
      <c r="Q67" s="31">
        <v>0.99707810359367743</v>
      </c>
      <c r="R67" s="31">
        <v>0.92532972147305803</v>
      </c>
      <c r="S67" s="31">
        <v>0.86459532437783571</v>
      </c>
      <c r="T67" s="31">
        <v>0.81276799965955937</v>
      </c>
      <c r="U67" s="31">
        <v>0.76796472152349882</v>
      </c>
      <c r="V67" s="31">
        <v>0.72852635102869812</v>
      </c>
      <c r="W67" s="31">
        <v>0.69301763608797928</v>
      </c>
      <c r="X67" s="31">
        <v>0.66022721146786822</v>
      </c>
      <c r="Y67" s="31">
        <v>0.62916759878869066</v>
      </c>
      <c r="Z67" s="31">
        <v>0.59907520652449475</v>
      </c>
      <c r="AA67" s="31">
        <v>0.56941033000308561</v>
      </c>
      <c r="AB67" s="31">
        <v>0.53985715140604995</v>
      </c>
      <c r="AC67" s="32">
        <v>0.51032373976869583</v>
      </c>
    </row>
    <row r="68" spans="1:29" x14ac:dyDescent="0.25">
      <c r="A68" s="30">
        <v>5</v>
      </c>
      <c r="B68" s="31">
        <v>5.5607998906857476</v>
      </c>
      <c r="C68" s="31">
        <v>4.9132721189846196</v>
      </c>
      <c r="D68" s="31">
        <v>4.3356755416528374</v>
      </c>
      <c r="E68" s="31">
        <v>3.8225270240885671</v>
      </c>
      <c r="F68" s="31">
        <v>3.3685673185437239</v>
      </c>
      <c r="G68" s="31">
        <v>2.9687610641239792</v>
      </c>
      <c r="H68" s="31">
        <v>2.6182967867887572</v>
      </c>
      <c r="I68" s="31">
        <v>2.3125868993512291</v>
      </c>
      <c r="J68" s="31">
        <v>2.0472677014783329</v>
      </c>
      <c r="K68" s="31">
        <v>1.8181993796907561</v>
      </c>
      <c r="L68" s="31">
        <v>1.621466007362933</v>
      </c>
      <c r="M68" s="31">
        <v>1.453375544723057</v>
      </c>
      <c r="N68" s="31">
        <v>1.310459838853077</v>
      </c>
      <c r="O68" s="31">
        <v>1.1894746236886891</v>
      </c>
      <c r="P68" s="31">
        <v>1.0873995200193449</v>
      </c>
      <c r="Q68" s="31">
        <v>1.0014380354882659</v>
      </c>
      <c r="R68" s="31">
        <v>0.92901756459240203</v>
      </c>
      <c r="S68" s="31">
        <v>0.86778938868246602</v>
      </c>
      <c r="T68" s="31">
        <v>0.81562867596294286</v>
      </c>
      <c r="U68" s="31">
        <v>0.77063448149203839</v>
      </c>
      <c r="V68" s="31">
        <v>0.73112974718172574</v>
      </c>
      <c r="W68" s="31">
        <v>0.69566130179776675</v>
      </c>
      <c r="X68" s="31">
        <v>0.66299986095960772</v>
      </c>
      <c r="Y68" s="31">
        <v>0.63214002714050987</v>
      </c>
      <c r="Z68" s="31">
        <v>0.60230028966745464</v>
      </c>
      <c r="AA68" s="31">
        <v>0.5729230247211865</v>
      </c>
      <c r="AB68" s="31">
        <v>0.54367449533622303</v>
      </c>
      <c r="AC68" s="32">
        <v>0.5144448514007911</v>
      </c>
    </row>
    <row r="69" spans="1:29" x14ac:dyDescent="0.25">
      <c r="A69" s="30">
        <v>10</v>
      </c>
      <c r="B69" s="31">
        <v>5.6092782421642724</v>
      </c>
      <c r="C69" s="31">
        <v>4.9562180366644881</v>
      </c>
      <c r="D69" s="31">
        <v>4.3735375563817618</v>
      </c>
      <c r="E69" s="31">
        <v>3.8557357475671892</v>
      </c>
      <c r="F69" s="31">
        <v>3.3975354433256202</v>
      </c>
      <c r="G69" s="31">
        <v>2.9938833636156592</v>
      </c>
      <c r="H69" s="31">
        <v>2.6399501152496589</v>
      </c>
      <c r="I69" s="31">
        <v>2.3311301918937302</v>
      </c>
      <c r="J69" s="31">
        <v>2.0630419740677359</v>
      </c>
      <c r="K69" s="31">
        <v>1.831527729145296</v>
      </c>
      <c r="L69" s="31">
        <v>1.6326536113537859</v>
      </c>
      <c r="M69" s="31">
        <v>1.462709661774318</v>
      </c>
      <c r="N69" s="31">
        <v>1.318209808341785</v>
      </c>
      <c r="O69" s="31">
        <v>1.1958918658448141</v>
      </c>
      <c r="P69" s="31">
        <v>1.0927175359257839</v>
      </c>
      <c r="Q69" s="31">
        <v>1.0058724070808469</v>
      </c>
      <c r="R69" s="31">
        <v>0.93276595465989298</v>
      </c>
      <c r="S69" s="31">
        <v>0.87103154086656343</v>
      </c>
      <c r="T69" s="31">
        <v>0.81852641475827426</v>
      </c>
      <c r="U69" s="31">
        <v>0.7733317122461606</v>
      </c>
      <c r="V69" s="31">
        <v>0.73375245609514328</v>
      </c>
      <c r="W69" s="31">
        <v>0.69831755592389133</v>
      </c>
      <c r="X69" s="31">
        <v>0.66577980820479998</v>
      </c>
      <c r="Y69" s="31">
        <v>0.63511589626406628</v>
      </c>
      <c r="Z69" s="31">
        <v>0.6055263902815915</v>
      </c>
      <c r="AA69" s="31">
        <v>0.57643574729106306</v>
      </c>
      <c r="AB69" s="31">
        <v>0.54749231117992114</v>
      </c>
      <c r="AC69" s="32">
        <v>0.5185683126893289</v>
      </c>
    </row>
    <row r="70" spans="1:29" x14ac:dyDescent="0.25">
      <c r="A70" s="30">
        <v>15</v>
      </c>
      <c r="B70" s="31">
        <v>5.6582161782432152</v>
      </c>
      <c r="C70" s="31">
        <v>4.9995879544071169</v>
      </c>
      <c r="D70" s="31">
        <v>4.411789420316949</v>
      </c>
      <c r="E70" s="31">
        <v>3.889301603076738</v>
      </c>
      <c r="F70" s="31">
        <v>3.4268294166442672</v>
      </c>
      <c r="G70" s="31">
        <v>3.0193016618310708</v>
      </c>
      <c r="H70" s="31">
        <v>2.6618710263024421</v>
      </c>
      <c r="I70" s="31">
        <v>2.3499140845774118</v>
      </c>
      <c r="J70" s="31">
        <v>2.0790312980287871</v>
      </c>
      <c r="K70" s="31">
        <v>1.845047014883114</v>
      </c>
      <c r="L70" s="31">
        <v>1.644009470220698</v>
      </c>
      <c r="M70" s="31">
        <v>1.4721907859755901</v>
      </c>
      <c r="N70" s="31">
        <v>1.3260869709356069</v>
      </c>
      <c r="O70" s="31">
        <v>1.202417920742314</v>
      </c>
      <c r="P70" s="31">
        <v>1.098127417891025</v>
      </c>
      <c r="Q70" s="31">
        <v>1.0103831317308201</v>
      </c>
      <c r="R70" s="31">
        <v>0.93657661846451967</v>
      </c>
      <c r="S70" s="31">
        <v>0.87432332114870326</v>
      </c>
      <c r="T70" s="31">
        <v>0.82146256969371456</v>
      </c>
      <c r="U70" s="31">
        <v>0.77605758086362564</v>
      </c>
      <c r="V70" s="31">
        <v>0.73639545827627906</v>
      </c>
      <c r="W70" s="31">
        <v>0.70098719240328511</v>
      </c>
      <c r="X70" s="31">
        <v>0.66856766056997885</v>
      </c>
      <c r="Y70" s="31">
        <v>0.6380956269554704</v>
      </c>
      <c r="Z70" s="31">
        <v>0.60875374259261705</v>
      </c>
      <c r="AA70" s="31">
        <v>0.57994854536800844</v>
      </c>
      <c r="AB70" s="31">
        <v>0.55131046002203188</v>
      </c>
      <c r="AC70" s="32">
        <v>0.52269379814880601</v>
      </c>
    </row>
    <row r="71" spans="1:29" x14ac:dyDescent="0.25">
      <c r="A71" s="30">
        <v>20</v>
      </c>
      <c r="B71" s="31">
        <v>5.707618435117789</v>
      </c>
      <c r="C71" s="31">
        <v>5.0433864218373063</v>
      </c>
      <c r="D71" s="31">
        <v>4.4504354965127906</v>
      </c>
      <c r="E71" s="31">
        <v>3.9232287671011981</v>
      </c>
      <c r="F71" s="31">
        <v>3.4564532284132401</v>
      </c>
      <c r="G71" s="31">
        <v>3.045019762113387</v>
      </c>
      <c r="H71" s="31">
        <v>2.6840631367198569</v>
      </c>
      <c r="I71" s="31">
        <v>2.368942007604625</v>
      </c>
      <c r="J71" s="31">
        <v>2.0952389169934209</v>
      </c>
      <c r="K71" s="31">
        <v>1.858760293965724</v>
      </c>
      <c r="L71" s="31">
        <v>1.6555364544547799</v>
      </c>
      <c r="M71" s="31">
        <v>1.481821601247566</v>
      </c>
      <c r="N71" s="31">
        <v>1.3340938239848319</v>
      </c>
      <c r="O71" s="31">
        <v>1.209055099161076</v>
      </c>
      <c r="P71" s="31">
        <v>1.103631290124542</v>
      </c>
      <c r="Q71" s="31">
        <v>1.014972147077241</v>
      </c>
      <c r="R71" s="31">
        <v>0.94045130707493452</v>
      </c>
      <c r="S71" s="31">
        <v>0.87766629402712792</v>
      </c>
      <c r="T71" s="31">
        <v>0.82443851869709373</v>
      </c>
      <c r="U71" s="31">
        <v>0.77881327870184702</v>
      </c>
      <c r="V71" s="31">
        <v>0.73905975851214645</v>
      </c>
      <c r="W71" s="31">
        <v>0.70367102945255666</v>
      </c>
      <c r="X71" s="31">
        <v>0.67136404970132613</v>
      </c>
      <c r="Y71" s="31">
        <v>0.64107966429050656</v>
      </c>
      <c r="Z71" s="31">
        <v>0.61198260510588121</v>
      </c>
      <c r="AA71" s="31">
        <v>0.58346149088697363</v>
      </c>
      <c r="AB71" s="31">
        <v>0.55512882722712764</v>
      </c>
      <c r="AC71" s="32">
        <v>0.52682100657334452</v>
      </c>
    </row>
    <row r="72" spans="1:29" x14ac:dyDescent="0.25">
      <c r="A72" s="30">
        <v>25</v>
      </c>
      <c r="B72" s="31">
        <v>5.7574897732628738</v>
      </c>
      <c r="C72" s="31">
        <v>5.0876180128595374</v>
      </c>
      <c r="D72" s="31">
        <v>4.4894801723033551</v>
      </c>
      <c r="E72" s="31">
        <v>3.9575214404042178</v>
      </c>
      <c r="F72" s="31">
        <v>3.4864108928257802</v>
      </c>
      <c r="G72" s="31">
        <v>3.0710414920854281</v>
      </c>
      <c r="H72" s="31">
        <v>2.7065300875543268</v>
      </c>
      <c r="I72" s="31">
        <v>2.388217415457373</v>
      </c>
      <c r="J72" s="31">
        <v>2.111668098873237</v>
      </c>
      <c r="K72" s="31">
        <v>1.872670647734328</v>
      </c>
      <c r="L72" s="31">
        <v>1.6672374588268151</v>
      </c>
      <c r="M72" s="31">
        <v>1.491604815790619</v>
      </c>
      <c r="N72" s="31">
        <v>1.34223288911942</v>
      </c>
      <c r="O72" s="31">
        <v>1.2158057361606429</v>
      </c>
      <c r="P72" s="31">
        <v>1.10923130111547</v>
      </c>
      <c r="Q72" s="31">
        <v>1.019641415038848</v>
      </c>
      <c r="R72" s="31">
        <v>0.94439179583945554</v>
      </c>
      <c r="S72" s="31">
        <v>0.88106204827974444</v>
      </c>
      <c r="T72" s="31">
        <v>0.8274556639759163</v>
      </c>
      <c r="U72" s="31">
        <v>0.78160002139790996</v>
      </c>
      <c r="V72" s="31">
        <v>0.74174638586943675</v>
      </c>
      <c r="W72" s="31">
        <v>0.70636990956796886</v>
      </c>
      <c r="X72" s="31">
        <v>0.67416963152470355</v>
      </c>
      <c r="Y72" s="31">
        <v>0.64406847762461605</v>
      </c>
      <c r="Z72" s="31">
        <v>0.61521326060642778</v>
      </c>
      <c r="AA72" s="31">
        <v>0.58697468006259956</v>
      </c>
      <c r="AB72" s="31">
        <v>0.55894732243938694</v>
      </c>
      <c r="AC72" s="32">
        <v>0.53094966103674657</v>
      </c>
    </row>
    <row r="73" spans="1:29" x14ac:dyDescent="0.25">
      <c r="A73" s="30">
        <v>30</v>
      </c>
      <c r="B73" s="31">
        <v>5.8078349774330249</v>
      </c>
      <c r="C73" s="31">
        <v>5.1322873256579413</v>
      </c>
      <c r="D73" s="31">
        <v>4.5289278593023692</v>
      </c>
      <c r="E73" s="31">
        <v>3.9921838480291232</v>
      </c>
      <c r="F73" s="31">
        <v>3.5167064483547912</v>
      </c>
      <c r="G73" s="31">
        <v>3.0973707036497018</v>
      </c>
      <c r="H73" s="31">
        <v>2.729275544137939</v>
      </c>
      <c r="I73" s="31">
        <v>2.4077437868973401</v>
      </c>
      <c r="J73" s="31">
        <v>2.128322135859503</v>
      </c>
      <c r="K73" s="31">
        <v>1.8867811818097719</v>
      </c>
      <c r="L73" s="31">
        <v>1.679115402387253</v>
      </c>
      <c r="M73" s="31">
        <v>1.501543162084789</v>
      </c>
      <c r="N73" s="31">
        <v>1.350506712248996</v>
      </c>
      <c r="O73" s="31">
        <v>1.2226721910802389</v>
      </c>
      <c r="P73" s="31">
        <v>1.1149296236326229</v>
      </c>
      <c r="Q73" s="31">
        <v>1.0243929218140271</v>
      </c>
      <c r="R73" s="31">
        <v>0.94839988438607192</v>
      </c>
      <c r="S73" s="31">
        <v>0.88451219696412808</v>
      </c>
      <c r="T73" s="31">
        <v>0.83051543201734113</v>
      </c>
      <c r="U73" s="31">
        <v>0.78441904886858449</v>
      </c>
      <c r="V73" s="31">
        <v>0.7444563936944818</v>
      </c>
      <c r="W73" s="31">
        <v>0.70908469952546249</v>
      </c>
      <c r="X73" s="31">
        <v>0.67698508624563503</v>
      </c>
      <c r="Y73" s="31">
        <v>0.64706256059292688</v>
      </c>
      <c r="Z73" s="31">
        <v>0.61844601615896821</v>
      </c>
      <c r="AA73" s="31">
        <v>0.59048823338917</v>
      </c>
      <c r="AB73" s="31">
        <v>0.56276587958272195</v>
      </c>
      <c r="AC73" s="32">
        <v>0.53507950889250122</v>
      </c>
    </row>
    <row r="74" spans="1:29" x14ac:dyDescent="0.25">
      <c r="A74" s="30">
        <v>35</v>
      </c>
      <c r="B74" s="31">
        <v>5.8586588566624602</v>
      </c>
      <c r="C74" s="31">
        <v>5.1773989826963343</v>
      </c>
      <c r="D74" s="31">
        <v>4.5687829934032314</v>
      </c>
      <c r="E74" s="31">
        <v>4.0272202392989014</v>
      </c>
      <c r="F74" s="31">
        <v>3.547343957752862</v>
      </c>
      <c r="G74" s="31">
        <v>3.124011272988374</v>
      </c>
      <c r="H74" s="31">
        <v>2.7523031960824542</v>
      </c>
      <c r="I74" s="31">
        <v>2.427524624965876</v>
      </c>
      <c r="J74" s="31">
        <v>2.145204344423163</v>
      </c>
      <c r="K74" s="31">
        <v>1.9010950260925961</v>
      </c>
      <c r="L74" s="31">
        <v>1.6911732284662091</v>
      </c>
      <c r="M74" s="31">
        <v>1.511639396889783</v>
      </c>
      <c r="N74" s="31">
        <v>1.358917863562866</v>
      </c>
      <c r="O74" s="31">
        <v>1.229656847538749</v>
      </c>
      <c r="P74" s="31">
        <v>1.120728454724478</v>
      </c>
      <c r="Q74" s="31">
        <v>1.0292286778808599</v>
      </c>
      <c r="R74" s="31">
        <v>0.95247739662244391</v>
      </c>
      <c r="S74" s="31">
        <v>0.88801837741754264</v>
      </c>
      <c r="T74" s="31">
        <v>0.83361927358821653</v>
      </c>
      <c r="U74" s="31">
        <v>0.78727162531028849</v>
      </c>
      <c r="V74" s="31">
        <v>0.74719085961331166</v>
      </c>
      <c r="W74" s="31">
        <v>0.7118162903806402</v>
      </c>
      <c r="X74" s="31">
        <v>0.67981111834932562</v>
      </c>
      <c r="Y74" s="31">
        <v>0.65006243111021622</v>
      </c>
      <c r="Z74" s="31">
        <v>0.62168120310789199</v>
      </c>
      <c r="AA74" s="31">
        <v>0.59400229564067253</v>
      </c>
      <c r="AB74" s="31">
        <v>0.56658445686068326</v>
      </c>
      <c r="AC74" s="32">
        <v>0.53921032177376016</v>
      </c>
    </row>
    <row r="75" spans="1:29" x14ac:dyDescent="0.25">
      <c r="A75" s="30">
        <v>40</v>
      </c>
      <c r="B75" s="31">
        <v>5.9099662442650596</v>
      </c>
      <c r="C75" s="31">
        <v>5.2229576307181844</v>
      </c>
      <c r="D75" s="31">
        <v>4.6090500347790027</v>
      </c>
      <c r="E75" s="31">
        <v>4.062634887816202</v>
      </c>
      <c r="F75" s="31">
        <v>3.578327508052229</v>
      </c>
      <c r="G75" s="31">
        <v>3.150967100563272</v>
      </c>
      <c r="H75" s="31">
        <v>2.7756167572792938</v>
      </c>
      <c r="I75" s="31">
        <v>2.4475634569839859</v>
      </c>
      <c r="J75" s="31">
        <v>2.1623180653148131</v>
      </c>
      <c r="K75" s="31">
        <v>1.9156153347629841</v>
      </c>
      <c r="L75" s="31">
        <v>1.703413904673466</v>
      </c>
      <c r="M75" s="31">
        <v>1.521896301244974</v>
      </c>
      <c r="N75" s="31">
        <v>1.367468937529984</v>
      </c>
      <c r="O75" s="31">
        <v>1.2367621134347271</v>
      </c>
      <c r="P75" s="31">
        <v>1.126630015719176</v>
      </c>
      <c r="Q75" s="31">
        <v>1.0341507179970639</v>
      </c>
      <c r="R75" s="31">
        <v>0.95662618073588612</v>
      </c>
      <c r="S75" s="31">
        <v>0.89158225125687651</v>
      </c>
      <c r="T75" s="31">
        <v>0.83676866373503866</v>
      </c>
      <c r="U75" s="31">
        <v>0.79015903919911346</v>
      </c>
      <c r="V75" s="31">
        <v>0.74995088553160372</v>
      </c>
      <c r="W75" s="31">
        <v>0.71456559746878079</v>
      </c>
      <c r="X75" s="31">
        <v>0.68264845660062989</v>
      </c>
      <c r="Y75" s="31">
        <v>0.65306863137092996</v>
      </c>
      <c r="Z75" s="31">
        <v>0.62491917707721223</v>
      </c>
      <c r="AA75" s="31">
        <v>0.59751703587071803</v>
      </c>
      <c r="AB75" s="31">
        <v>0.57040303675649373</v>
      </c>
      <c r="AC75" s="32">
        <v>0.54334189559331669</v>
      </c>
    </row>
    <row r="76" spans="1:29" x14ac:dyDescent="0.25">
      <c r="A76" s="30">
        <v>45</v>
      </c>
      <c r="B76" s="31">
        <v>5.9617619978343761</v>
      </c>
      <c r="C76" s="31">
        <v>5.2689679407466334</v>
      </c>
      <c r="D76" s="31">
        <v>4.6497334678824149</v>
      </c>
      <c r="E76" s="31">
        <v>4.098432091463347</v>
      </c>
      <c r="F76" s="31">
        <v>3.6096612105647981</v>
      </c>
      <c r="G76" s="31">
        <v>3.178242111115904</v>
      </c>
      <c r="H76" s="31">
        <v>2.799219965899546</v>
      </c>
      <c r="I76" s="31">
        <v>2.4678638345523538</v>
      </c>
      <c r="J76" s="31">
        <v>2.179666663564725</v>
      </c>
      <c r="K76" s="31">
        <v>1.930345286280795</v>
      </c>
      <c r="L76" s="31">
        <v>1.7158404228984749</v>
      </c>
      <c r="M76" s="31">
        <v>1.532316680469398</v>
      </c>
      <c r="N76" s="31">
        <v>1.3761625528989849</v>
      </c>
      <c r="O76" s="31">
        <v>1.2439904209463879</v>
      </c>
      <c r="P76" s="31">
        <v>1.132636552224519</v>
      </c>
      <c r="Q76" s="31">
        <v>1.039161101200047</v>
      </c>
      <c r="R76" s="31">
        <v>0.96084810919338892</v>
      </c>
      <c r="S76" s="31">
        <v>0.8952055043787176</v>
      </c>
      <c r="T76" s="31">
        <v>0.83996510178397699</v>
      </c>
      <c r="U76" s="31">
        <v>0.79308260329082092</v>
      </c>
      <c r="V76" s="31">
        <v>0.75273759763469372</v>
      </c>
      <c r="W76" s="31">
        <v>0.71733356040480611</v>
      </c>
      <c r="X76" s="31">
        <v>0.68549785404407448</v>
      </c>
      <c r="Y76" s="31">
        <v>0.65608172784920704</v>
      </c>
      <c r="Z76" s="31">
        <v>0.62816031797064498</v>
      </c>
      <c r="AA76" s="31">
        <v>0.60103264741260198</v>
      </c>
      <c r="AB76" s="31">
        <v>0.5742216260330405</v>
      </c>
      <c r="AC76" s="32">
        <v>0.54747405054364506</v>
      </c>
    </row>
    <row r="77" spans="1:29" x14ac:dyDescent="0.25">
      <c r="A77" s="30">
        <v>50</v>
      </c>
      <c r="B77" s="31">
        <v>6.0140509992436328</v>
      </c>
      <c r="C77" s="31">
        <v>5.3154346080844954</v>
      </c>
      <c r="D77" s="31">
        <v>4.6908378014458787</v>
      </c>
      <c r="E77" s="31">
        <v>4.1346161724023309</v>
      </c>
      <c r="F77" s="31">
        <v>3.641349200882166</v>
      </c>
      <c r="G77" s="31">
        <v>3.205840253667442</v>
      </c>
      <c r="H77" s="31">
        <v>2.8231165843939792</v>
      </c>
      <c r="I77" s="31">
        <v>2.4884293335513372</v>
      </c>
      <c r="J77" s="31">
        <v>2.1972535284828401</v>
      </c>
      <c r="K77" s="31">
        <v>1.9452880833855719</v>
      </c>
      <c r="L77" s="31">
        <v>1.728455799310356</v>
      </c>
      <c r="M77" s="31">
        <v>1.5429033641617751</v>
      </c>
      <c r="N77" s="31">
        <v>1.3850013526981719</v>
      </c>
      <c r="O77" s="31">
        <v>1.251344226531631</v>
      </c>
      <c r="P77" s="31">
        <v>1.138750334127999</v>
      </c>
      <c r="Q77" s="31">
        <v>1.0442619108068789</v>
      </c>
      <c r="R77" s="31">
        <v>0.96514507874161981</v>
      </c>
      <c r="S77" s="31">
        <v>0.89888984695932528</v>
      </c>
      <c r="T77" s="31">
        <v>0.84321011134086987</v>
      </c>
      <c r="U77" s="31">
        <v>0.79604365462084459</v>
      </c>
      <c r="V77" s="31">
        <v>0.75555214638762358</v>
      </c>
      <c r="W77" s="31">
        <v>0.7201211430833494</v>
      </c>
      <c r="X77" s="31">
        <v>0.68836008800386128</v>
      </c>
      <c r="Y77" s="31">
        <v>0.65910231129881136</v>
      </c>
      <c r="Z77" s="31">
        <v>0.63140502997159065</v>
      </c>
      <c r="AA77" s="31">
        <v>0.60454934787929748</v>
      </c>
      <c r="AB77" s="31">
        <v>0.57804025573287809</v>
      </c>
      <c r="AC77" s="32">
        <v>0.55160663109691832</v>
      </c>
    </row>
    <row r="78" spans="1:29" x14ac:dyDescent="0.25">
      <c r="A78" s="30">
        <v>55</v>
      </c>
      <c r="B78" s="31">
        <v>6.0668381546457191</v>
      </c>
      <c r="C78" s="31">
        <v>5.3623623523142507</v>
      </c>
      <c r="D78" s="31">
        <v>4.7323675684814486</v>
      </c>
      <c r="E78" s="31">
        <v>4.1711914770748102</v>
      </c>
      <c r="F78" s="31">
        <v>3.67339563887557</v>
      </c>
      <c r="G78" s="31">
        <v>3.2337655015187212</v>
      </c>
      <c r="H78" s="31">
        <v>2.847310399493014</v>
      </c>
      <c r="I78" s="31">
        <v>2.509263554140944</v>
      </c>
      <c r="J78" s="31">
        <v>2.2150820736587691</v>
      </c>
      <c r="K78" s="31">
        <v>1.9604469530964981</v>
      </c>
      <c r="L78" s="31">
        <v>1.741263074357899</v>
      </c>
      <c r="M78" s="31">
        <v>1.553659206200473</v>
      </c>
      <c r="N78" s="31">
        <v>1.3939880042354971</v>
      </c>
      <c r="O78" s="31">
        <v>1.2588260109280049</v>
      </c>
      <c r="P78" s="31">
        <v>1.144973655596754</v>
      </c>
      <c r="Q78" s="31">
        <v>1.049455254414293</v>
      </c>
      <c r="R78" s="31">
        <v>0.96951901040689825</v>
      </c>
      <c r="S78" s="31">
        <v>0.90263701345460479</v>
      </c>
      <c r="T78" s="31">
        <v>0.84650524029122032</v>
      </c>
      <c r="U78" s="31">
        <v>0.79904355450427544</v>
      </c>
      <c r="V78" s="31">
        <v>0.75839570653505906</v>
      </c>
      <c r="W78" s="31">
        <v>0.72292933367866408</v>
      </c>
      <c r="X78" s="31">
        <v>0.69123596008386134</v>
      </c>
      <c r="Y78" s="31">
        <v>0.66213099675322518</v>
      </c>
      <c r="Z78" s="31">
        <v>0.63465374154307441</v>
      </c>
      <c r="AA78" s="31">
        <v>0.60806737916345843</v>
      </c>
      <c r="AB78" s="31">
        <v>0.58185898117823265</v>
      </c>
      <c r="AC78" s="32">
        <v>0.55573950600494371</v>
      </c>
    </row>
    <row r="79" spans="1:29" x14ac:dyDescent="0.25">
      <c r="A79" s="30">
        <v>60</v>
      </c>
      <c r="B79" s="31">
        <v>6.1201283944731841</v>
      </c>
      <c r="C79" s="31">
        <v>5.4097559172980318</v>
      </c>
      <c r="D79" s="31">
        <v>4.774327326280865</v>
      </c>
      <c r="E79" s="31">
        <v>4.2081623762021021</v>
      </c>
      <c r="F79" s="31">
        <v>3.705804708695918</v>
      </c>
      <c r="G79" s="31">
        <v>3.2620218522502382</v>
      </c>
      <c r="H79" s="31">
        <v>2.8718052222067421</v>
      </c>
      <c r="I79" s="31">
        <v>2.5303701207608569</v>
      </c>
      <c r="J79" s="31">
        <v>2.2331557369617778</v>
      </c>
      <c r="K79" s="31">
        <v>1.9758251467124399</v>
      </c>
      <c r="L79" s="31">
        <v>1.754265312769546</v>
      </c>
      <c r="M79" s="31">
        <v>1.564587084743529</v>
      </c>
      <c r="N79" s="31">
        <v>1.403125199098604</v>
      </c>
      <c r="O79" s="31">
        <v>1.2664382791527251</v>
      </c>
      <c r="P79" s="31">
        <v>1.1513088350775971</v>
      </c>
      <c r="Q79" s="31">
        <v>1.0547432638986849</v>
      </c>
      <c r="R79" s="31">
        <v>0.97397184949521209</v>
      </c>
      <c r="S79" s="31">
        <v>0.90644876260013751</v>
      </c>
      <c r="T79" s="31">
        <v>0.84985206080020259</v>
      </c>
      <c r="U79" s="31">
        <v>0.80208368853586798</v>
      </c>
      <c r="V79" s="31">
        <v>0.76126947710136161</v>
      </c>
      <c r="W79" s="31">
        <v>0.72575914464469526</v>
      </c>
      <c r="X79" s="31">
        <v>0.69412629616758448</v>
      </c>
      <c r="Y79" s="31">
        <v>0.66516842352553784</v>
      </c>
      <c r="Z79" s="31">
        <v>0.63790690542779793</v>
      </c>
      <c r="AA79" s="31">
        <v>0.61158700743735761</v>
      </c>
      <c r="AB79" s="31">
        <v>0.58567788197098558</v>
      </c>
      <c r="AC79" s="32">
        <v>0.5598725682991752</v>
      </c>
    </row>
    <row r="80" spans="1:29" x14ac:dyDescent="0.25">
      <c r="A80" s="30">
        <v>65</v>
      </c>
      <c r="B80" s="31">
        <v>6.1739266734382516</v>
      </c>
      <c r="C80" s="31">
        <v>5.4576200711776606</v>
      </c>
      <c r="D80" s="31">
        <v>4.8167216564155266</v>
      </c>
      <c r="E80" s="31">
        <v>4.2455332647852053</v>
      </c>
      <c r="F80" s="31">
        <v>3.738580618773804</v>
      </c>
      <c r="G80" s="31">
        <v>3.290613327722173</v>
      </c>
      <c r="H80" s="31">
        <v>2.8966048878249282</v>
      </c>
      <c r="I80" s="31">
        <v>2.5517526821304339</v>
      </c>
      <c r="J80" s="31">
        <v>2.2514779805408121</v>
      </c>
      <c r="K80" s="31">
        <v>1.9914259398119309</v>
      </c>
      <c r="L80" s="31">
        <v>1.7674656035534271</v>
      </c>
      <c r="M80" s="31">
        <v>1.575689902228665</v>
      </c>
      <c r="N80" s="31">
        <v>1.412415653154792</v>
      </c>
      <c r="O80" s="31">
        <v>1.274183560502699</v>
      </c>
      <c r="P80" s="31">
        <v>1.1577582152970101</v>
      </c>
      <c r="Q80" s="31">
        <v>1.0601280954161389</v>
      </c>
      <c r="R80" s="31">
        <v>0.9785055655922259</v>
      </c>
      <c r="S80" s="31">
        <v>0.9103268774111789</v>
      </c>
      <c r="T80" s="31">
        <v>0.85325216931265468</v>
      </c>
      <c r="U80" s="31">
        <v>0.80516546659005694</v>
      </c>
      <c r="V80" s="31">
        <v>0.76417468139054656</v>
      </c>
      <c r="W80" s="31">
        <v>0.72861161271506536</v>
      </c>
      <c r="X80" s="31">
        <v>0.69703194641825328</v>
      </c>
      <c r="Y80" s="31">
        <v>0.66821525520856351</v>
      </c>
      <c r="Z80" s="31">
        <v>0.64116499864817056</v>
      </c>
      <c r="AA80" s="31">
        <v>0.61510852315297815</v>
      </c>
      <c r="AB80" s="31">
        <v>0.5894970619927129</v>
      </c>
      <c r="AC80" s="32">
        <v>0.56400573529079356</v>
      </c>
    </row>
    <row r="81" spans="1:29" x14ac:dyDescent="0.25">
      <c r="A81" s="30">
        <v>70</v>
      </c>
      <c r="B81" s="31">
        <v>6.2282379705328133</v>
      </c>
      <c r="C81" s="31">
        <v>5.5059596063746126</v>
      </c>
      <c r="D81" s="31">
        <v>4.8595551647365074</v>
      </c>
      <c r="E81" s="31">
        <v>4.283308562104776</v>
      </c>
      <c r="F81" s="31">
        <v>3.771727601819467</v>
      </c>
      <c r="G81" s="31">
        <v>3.3195439740743562</v>
      </c>
      <c r="H81" s="31">
        <v>2.9217132559169992</v>
      </c>
      <c r="I81" s="31">
        <v>2.573414911248689</v>
      </c>
      <c r="J81" s="31">
        <v>2.270052290824478</v>
      </c>
      <c r="K81" s="31">
        <v>2.0072526322531679</v>
      </c>
      <c r="L81" s="31">
        <v>1.780867059997324</v>
      </c>
      <c r="M81" s="31">
        <v>1.5869705853732541</v>
      </c>
      <c r="N81" s="31">
        <v>1.421862106551028</v>
      </c>
      <c r="O81" s="31">
        <v>1.282064408554469</v>
      </c>
      <c r="P81" s="31">
        <v>1.164324163261137</v>
      </c>
      <c r="Q81" s="31">
        <v>1.06561192940238</v>
      </c>
      <c r="R81" s="31">
        <v>0.98312215256326696</v>
      </c>
      <c r="S81" s="31">
        <v>0.9142731651826369</v>
      </c>
      <c r="T81" s="31">
        <v>0.85670718655308586</v>
      </c>
      <c r="U81" s="31">
        <v>0.80829032282093738</v>
      </c>
      <c r="V81" s="31">
        <v>0.76711256698630226</v>
      </c>
      <c r="W81" s="31">
        <v>0.73148779890303672</v>
      </c>
      <c r="X81" s="31">
        <v>0.69995378527872443</v>
      </c>
      <c r="Y81" s="31">
        <v>0.67127217967474628</v>
      </c>
      <c r="Z81" s="31">
        <v>0.64442852250620153</v>
      </c>
      <c r="AA81" s="31">
        <v>0.61863224104194903</v>
      </c>
      <c r="AB81" s="31">
        <v>0.59331664940463125</v>
      </c>
      <c r="AC81" s="32">
        <v>0.56813894857059566</v>
      </c>
    </row>
    <row r="82" spans="1:29" x14ac:dyDescent="0.25">
      <c r="A82" s="30">
        <v>75</v>
      </c>
      <c r="B82" s="31">
        <v>6.283067289028426</v>
      </c>
      <c r="C82" s="31">
        <v>5.5547793395900369</v>
      </c>
      <c r="D82" s="31">
        <v>4.9028324813745394</v>
      </c>
      <c r="E82" s="31">
        <v>4.3214927117211461</v>
      </c>
      <c r="F82" s="31">
        <v>3.805249914822828</v>
      </c>
      <c r="G82" s="31">
        <v>3.3488178617263031</v>
      </c>
      <c r="H82" s="31">
        <v>2.9471342103320568</v>
      </c>
      <c r="I82" s="31">
        <v>2.595360505394309</v>
      </c>
      <c r="J82" s="31">
        <v>2.28888217852105</v>
      </c>
      <c r="K82" s="31">
        <v>2.023308548174017</v>
      </c>
      <c r="L82" s="31">
        <v>1.794472819668703</v>
      </c>
      <c r="M82" s="31">
        <v>1.598432085174343</v>
      </c>
      <c r="N82" s="31">
        <v>1.431467323713949</v>
      </c>
      <c r="O82" s="31">
        <v>1.290083401164267</v>
      </c>
      <c r="P82" s="31">
        <v>1.1710090702558029</v>
      </c>
      <c r="Q82" s="31">
        <v>1.071196970572823</v>
      </c>
      <c r="R82" s="31">
        <v>0.98782362855333483</v>
      </c>
      <c r="S82" s="31">
        <v>0.91828945748910573</v>
      </c>
      <c r="T82" s="31">
        <v>0.86021875752566745</v>
      </c>
      <c r="U82" s="31">
        <v>0.81145971566228148</v>
      </c>
      <c r="V82" s="31">
        <v>0.77008440575197934</v>
      </c>
      <c r="W82" s="31">
        <v>0.73438878850156275</v>
      </c>
      <c r="X82" s="31">
        <v>0.70289271147153598</v>
      </c>
      <c r="Y82" s="31">
        <v>0.67433990907621155</v>
      </c>
      <c r="Z82" s="31">
        <v>0.64769800258363663</v>
      </c>
      <c r="AA82" s="31">
        <v>0.62215850011558349</v>
      </c>
      <c r="AB82" s="31">
        <v>0.59713679664762853</v>
      </c>
      <c r="AC82" s="32">
        <v>0.57227217400907715</v>
      </c>
    </row>
    <row r="83" spans="1:29" x14ac:dyDescent="0.25">
      <c r="A83" s="33">
        <v>80</v>
      </c>
      <c r="B83" s="34">
        <v>6.3384196564763116</v>
      </c>
      <c r="C83" s="34">
        <v>5.6040841118047471</v>
      </c>
      <c r="D83" s="34">
        <v>4.9465582607400291</v>
      </c>
      <c r="E83" s="34">
        <v>4.3600901814742992</v>
      </c>
      <c r="F83" s="34">
        <v>3.8391518390534669</v>
      </c>
      <c r="G83" s="34">
        <v>3.378439085377182</v>
      </c>
      <c r="H83" s="34">
        <v>2.9728716591988569</v>
      </c>
      <c r="I83" s="34">
        <v>2.6175931861256481</v>
      </c>
      <c r="J83" s="34">
        <v>2.307971178618474</v>
      </c>
      <c r="K83" s="34">
        <v>2.039597035992009</v>
      </c>
      <c r="L83" s="34">
        <v>1.808286044414674</v>
      </c>
      <c r="M83" s="34">
        <v>1.6100773769086441</v>
      </c>
      <c r="N83" s="34">
        <v>1.4412340933498531</v>
      </c>
      <c r="O83" s="34">
        <v>1.2982431404679871</v>
      </c>
      <c r="P83" s="34">
        <v>1.17781535184648</v>
      </c>
      <c r="Q83" s="34">
        <v>1.0768854479225329</v>
      </c>
      <c r="R83" s="34">
        <v>0.99261203598708336</v>
      </c>
      <c r="S83" s="34">
        <v>0.92237761018483411</v>
      </c>
      <c r="T83" s="34">
        <v>0.86378855151424361</v>
      </c>
      <c r="U83" s="34">
        <v>0.81467512782751594</v>
      </c>
      <c r="V83" s="34">
        <v>0.77309149383060305</v>
      </c>
      <c r="W83" s="34">
        <v>0.73731569108324013</v>
      </c>
      <c r="X83" s="34">
        <v>0.70584964799887828</v>
      </c>
      <c r="Y83" s="34">
        <v>0.67741917984474931</v>
      </c>
      <c r="Z83" s="34">
        <v>0.65097398874183399</v>
      </c>
      <c r="AA83" s="34">
        <v>0.62568766366483952</v>
      </c>
      <c r="AB83" s="34">
        <v>0.60095768044228304</v>
      </c>
      <c r="AC83" s="35">
        <v>0.57640540175637689</v>
      </c>
    </row>
    <row r="86" spans="1:29" ht="28.9" customHeight="1" x14ac:dyDescent="0.5">
      <c r="A86" s="1" t="s">
        <v>31</v>
      </c>
    </row>
    <row r="87" spans="1:29" ht="32.1" customHeight="1" x14ac:dyDescent="0.25"/>
    <row r="88" spans="1:29" x14ac:dyDescent="0.25">
      <c r="A88" s="2"/>
      <c r="B88" s="3"/>
      <c r="C88" s="3"/>
      <c r="D88" s="4"/>
    </row>
    <row r="89" spans="1:29" x14ac:dyDescent="0.25">
      <c r="A89" s="5" t="s">
        <v>32</v>
      </c>
      <c r="B89" s="6">
        <v>1.8240000000000001</v>
      </c>
      <c r="C89" s="6" t="s">
        <v>12</v>
      </c>
      <c r="D89" s="7"/>
    </row>
    <row r="90" spans="1:29" x14ac:dyDescent="0.25">
      <c r="A90" s="8"/>
      <c r="B90" s="9"/>
      <c r="C90" s="9"/>
      <c r="D90" s="10"/>
    </row>
    <row r="93" spans="1:29" ht="48" customHeight="1" x14ac:dyDescent="0.25">
      <c r="A93" s="21" t="s">
        <v>33</v>
      </c>
      <c r="B93" s="23" t="s">
        <v>34</v>
      </c>
    </row>
    <row r="94" spans="1:29" x14ac:dyDescent="0.25">
      <c r="A94" s="5">
        <v>0</v>
      </c>
      <c r="B94" s="32">
        <v>0.37000000000000011</v>
      </c>
    </row>
    <row r="95" spans="1:29" x14ac:dyDescent="0.25">
      <c r="A95" s="5">
        <v>6.0999999999999999E-2</v>
      </c>
      <c r="B95" s="32">
        <v>0.4029079166666667</v>
      </c>
    </row>
    <row r="96" spans="1:29" x14ac:dyDescent="0.25">
      <c r="A96" s="5">
        <v>0.122</v>
      </c>
      <c r="B96" s="32">
        <v>0.37500249999999991</v>
      </c>
    </row>
    <row r="97" spans="1:2" x14ac:dyDescent="0.25">
      <c r="A97" s="5">
        <v>0.182</v>
      </c>
      <c r="B97" s="32">
        <v>0.33588047619047651</v>
      </c>
    </row>
    <row r="98" spans="1:2" x14ac:dyDescent="0.25">
      <c r="A98" s="5">
        <v>0.24299999999999999</v>
      </c>
      <c r="B98" s="32">
        <v>0.28879916666666677</v>
      </c>
    </row>
    <row r="99" spans="1:2" x14ac:dyDescent="0.25">
      <c r="A99" s="5">
        <v>0.30399999999999999</v>
      </c>
      <c r="B99" s="32">
        <v>0.2416426666666667</v>
      </c>
    </row>
    <row r="100" spans="1:2" x14ac:dyDescent="0.25">
      <c r="A100" s="5">
        <v>0.36499999999999999</v>
      </c>
      <c r="B100" s="32">
        <v>0.1927572916666668</v>
      </c>
    </row>
    <row r="101" spans="1:2" x14ac:dyDescent="0.25">
      <c r="A101" s="5">
        <v>0.42599999999999999</v>
      </c>
      <c r="B101" s="32">
        <v>0.14026357142857171</v>
      </c>
    </row>
    <row r="102" spans="1:2" x14ac:dyDescent="0.25">
      <c r="A102" s="5">
        <v>0.48599999999999999</v>
      </c>
      <c r="B102" s="32">
        <v>0.1237633333333335</v>
      </c>
    </row>
    <row r="103" spans="1:2" x14ac:dyDescent="0.25">
      <c r="A103" s="5">
        <v>0.54700000000000004</v>
      </c>
      <c r="B103" s="32">
        <v>0.16175166666666671</v>
      </c>
    </row>
    <row r="104" spans="1:2" x14ac:dyDescent="0.25">
      <c r="A104" s="5">
        <v>0.60799999999999998</v>
      </c>
      <c r="B104" s="32">
        <v>0.1229511111111113</v>
      </c>
    </row>
    <row r="105" spans="1:2" x14ac:dyDescent="0.25">
      <c r="A105" s="5">
        <v>0.66900000000000004</v>
      </c>
      <c r="B105" s="32">
        <v>0.14049500000000009</v>
      </c>
    </row>
    <row r="106" spans="1:2" x14ac:dyDescent="0.25">
      <c r="A106" s="5">
        <v>0.73</v>
      </c>
      <c r="B106" s="32">
        <v>0.1148233333333335</v>
      </c>
    </row>
    <row r="107" spans="1:2" x14ac:dyDescent="0.25">
      <c r="A107" s="5">
        <v>0.79</v>
      </c>
      <c r="B107" s="32">
        <v>8.4504166666666825E-2</v>
      </c>
    </row>
    <row r="108" spans="1:2" x14ac:dyDescent="0.25">
      <c r="A108" s="5">
        <v>0.85099999999999998</v>
      </c>
      <c r="B108" s="32">
        <v>6.6285833333333447E-2</v>
      </c>
    </row>
    <row r="109" spans="1:2" x14ac:dyDescent="0.25">
      <c r="A109" s="5">
        <v>0.91200000000000003</v>
      </c>
      <c r="B109" s="32">
        <v>6.5966666666666979E-2</v>
      </c>
    </row>
    <row r="110" spans="1:2" x14ac:dyDescent="0.25">
      <c r="A110" s="5">
        <v>0.97299999999999998</v>
      </c>
      <c r="B110" s="32">
        <v>5.8637222222222563E-2</v>
      </c>
    </row>
    <row r="111" spans="1:2" x14ac:dyDescent="0.25">
      <c r="A111" s="5">
        <v>1.034</v>
      </c>
      <c r="B111" s="32">
        <v>3.6910000000000089E-2</v>
      </c>
    </row>
    <row r="112" spans="1:2" x14ac:dyDescent="0.25">
      <c r="A112" s="5">
        <v>1.0940000000000001</v>
      </c>
      <c r="B112" s="32">
        <v>1.447000000000029E-2</v>
      </c>
    </row>
    <row r="113" spans="1:2" x14ac:dyDescent="0.25">
      <c r="A113" s="5">
        <v>1.155</v>
      </c>
      <c r="B113" s="32">
        <v>2.5037500000000271E-2</v>
      </c>
    </row>
    <row r="114" spans="1:2" x14ac:dyDescent="0.25">
      <c r="A114" s="5">
        <v>1.216</v>
      </c>
      <c r="B114" s="32">
        <v>1.9490138192862941E-2</v>
      </c>
    </row>
    <row r="115" spans="1:2" x14ac:dyDescent="0.25">
      <c r="A115" s="5">
        <v>1.2769999999999999</v>
      </c>
      <c r="B115" s="32">
        <v>1.6262719438117131E-2</v>
      </c>
    </row>
    <row r="116" spans="1:2" x14ac:dyDescent="0.25">
      <c r="A116" s="5">
        <v>1.3380000000000001</v>
      </c>
      <c r="B116" s="32">
        <v>1.463098591549317E-2</v>
      </c>
    </row>
    <row r="117" spans="1:2" x14ac:dyDescent="0.25">
      <c r="A117" s="5">
        <v>1.3979999999999999</v>
      </c>
      <c r="B117" s="32">
        <v>1.3166197183098751E-2</v>
      </c>
    </row>
    <row r="118" spans="1:2" x14ac:dyDescent="0.25">
      <c r="A118" s="5">
        <v>1.4590000000000001</v>
      </c>
      <c r="B118" s="32">
        <v>1.1676995305164641E-2</v>
      </c>
    </row>
    <row r="119" spans="1:2" x14ac:dyDescent="0.25">
      <c r="A119" s="5">
        <v>1.52</v>
      </c>
      <c r="B119" s="32">
        <v>1.033962264150956E-2</v>
      </c>
    </row>
    <row r="120" spans="1:2" x14ac:dyDescent="0.25">
      <c r="A120" s="5">
        <v>1.581</v>
      </c>
      <c r="B120" s="32">
        <v>9.1311320754717835E-3</v>
      </c>
    </row>
    <row r="121" spans="1:2" x14ac:dyDescent="0.25">
      <c r="A121" s="5">
        <v>1.6419999999999999</v>
      </c>
      <c r="B121" s="32">
        <v>7.9226415094340082E-3</v>
      </c>
    </row>
    <row r="122" spans="1:2" x14ac:dyDescent="0.25">
      <c r="A122" s="5">
        <v>1.702</v>
      </c>
      <c r="B122" s="32">
        <v>6.7339622641510392E-3</v>
      </c>
    </row>
    <row r="123" spans="1:2" x14ac:dyDescent="0.25">
      <c r="A123" s="5">
        <v>1.7629999999999999</v>
      </c>
      <c r="B123" s="32">
        <v>5.525471698113218E-3</v>
      </c>
    </row>
    <row r="124" spans="1:2" x14ac:dyDescent="0.25">
      <c r="A124" s="5">
        <v>1.8240000000000001</v>
      </c>
      <c r="B124" s="32">
        <v>0</v>
      </c>
    </row>
    <row r="125" spans="1:2" x14ac:dyDescent="0.25">
      <c r="A125" s="5">
        <v>1.885</v>
      </c>
      <c r="B125" s="32">
        <v>0</v>
      </c>
    </row>
    <row r="126" spans="1:2" x14ac:dyDescent="0.25">
      <c r="A126" s="5">
        <v>1.946</v>
      </c>
      <c r="B126" s="32">
        <v>0</v>
      </c>
    </row>
    <row r="127" spans="1:2" x14ac:dyDescent="0.25">
      <c r="A127" s="5">
        <v>2.0059999999999998</v>
      </c>
      <c r="B127" s="32">
        <v>0</v>
      </c>
    </row>
    <row r="128" spans="1:2" x14ac:dyDescent="0.25">
      <c r="A128" s="5">
        <v>2.0670000000000002</v>
      </c>
      <c r="B128" s="32">
        <v>0</v>
      </c>
    </row>
    <row r="129" spans="1:2" x14ac:dyDescent="0.25">
      <c r="A129" s="5">
        <v>2.1280000000000001</v>
      </c>
      <c r="B129" s="32">
        <v>0</v>
      </c>
    </row>
    <row r="130" spans="1:2" x14ac:dyDescent="0.25">
      <c r="A130" s="5">
        <v>2.1890000000000001</v>
      </c>
      <c r="B130" s="32">
        <v>0</v>
      </c>
    </row>
    <row r="131" spans="1:2" x14ac:dyDescent="0.25">
      <c r="A131" s="5">
        <v>2.25</v>
      </c>
      <c r="B131" s="32">
        <v>0</v>
      </c>
    </row>
    <row r="132" spans="1:2" x14ac:dyDescent="0.25">
      <c r="A132" s="5">
        <v>2.31</v>
      </c>
      <c r="B132" s="32">
        <v>0</v>
      </c>
    </row>
    <row r="133" spans="1:2" x14ac:dyDescent="0.25">
      <c r="A133" s="5">
        <v>2.371</v>
      </c>
      <c r="B133" s="32">
        <v>0</v>
      </c>
    </row>
    <row r="134" spans="1:2" x14ac:dyDescent="0.25">
      <c r="A134" s="5">
        <v>2.4319999999999999</v>
      </c>
      <c r="B134" s="32">
        <v>0</v>
      </c>
    </row>
    <row r="135" spans="1:2" x14ac:dyDescent="0.25">
      <c r="A135" s="5">
        <v>2.4929999999999999</v>
      </c>
      <c r="B135" s="32">
        <v>0</v>
      </c>
    </row>
    <row r="136" spans="1:2" x14ac:dyDescent="0.25">
      <c r="A136" s="5">
        <v>2.5539999999999998</v>
      </c>
      <c r="B136" s="32">
        <v>0</v>
      </c>
    </row>
    <row r="137" spans="1:2" x14ac:dyDescent="0.25">
      <c r="A137" s="5">
        <v>2.6139999999999999</v>
      </c>
      <c r="B137" s="32">
        <v>0</v>
      </c>
    </row>
    <row r="138" spans="1:2" x14ac:dyDescent="0.25">
      <c r="A138" s="5">
        <v>2.6749999999999998</v>
      </c>
      <c r="B138" s="32">
        <v>0</v>
      </c>
    </row>
    <row r="139" spans="1:2" x14ac:dyDescent="0.25">
      <c r="A139" s="5">
        <v>2.7360000000000002</v>
      </c>
      <c r="B139" s="32">
        <v>0</v>
      </c>
    </row>
    <row r="140" spans="1:2" x14ac:dyDescent="0.25">
      <c r="A140" s="5">
        <v>2.7970000000000002</v>
      </c>
      <c r="B140" s="32">
        <v>0</v>
      </c>
    </row>
    <row r="141" spans="1:2" x14ac:dyDescent="0.25">
      <c r="A141" s="5">
        <v>2.8580000000000001</v>
      </c>
      <c r="B141" s="32">
        <v>0</v>
      </c>
    </row>
    <row r="142" spans="1:2" x14ac:dyDescent="0.25">
      <c r="A142" s="5">
        <v>2.9180000000000001</v>
      </c>
      <c r="B142" s="32">
        <v>0</v>
      </c>
    </row>
    <row r="143" spans="1:2" x14ac:dyDescent="0.25">
      <c r="A143" s="5">
        <v>2.9790000000000001</v>
      </c>
      <c r="B143" s="32">
        <v>0</v>
      </c>
    </row>
    <row r="144" spans="1:2" x14ac:dyDescent="0.25">
      <c r="A144" s="5">
        <v>3.04</v>
      </c>
      <c r="B144" s="32">
        <v>0</v>
      </c>
    </row>
    <row r="145" spans="1:2" x14ac:dyDescent="0.25">
      <c r="A145" s="5">
        <v>3.101</v>
      </c>
      <c r="B145" s="32">
        <v>0</v>
      </c>
    </row>
    <row r="146" spans="1:2" x14ac:dyDescent="0.25">
      <c r="A146" s="5">
        <v>3.1619999999999999</v>
      </c>
      <c r="B146" s="32">
        <v>0</v>
      </c>
    </row>
    <row r="147" spans="1:2" x14ac:dyDescent="0.25">
      <c r="A147" s="5">
        <v>3.222</v>
      </c>
      <c r="B147" s="32">
        <v>0</v>
      </c>
    </row>
    <row r="148" spans="1:2" x14ac:dyDescent="0.25">
      <c r="A148" s="5">
        <v>3.2829999999999999</v>
      </c>
      <c r="B148" s="32">
        <v>0</v>
      </c>
    </row>
    <row r="149" spans="1:2" x14ac:dyDescent="0.25">
      <c r="A149" s="5">
        <v>3.3439999999999999</v>
      </c>
      <c r="B149" s="32">
        <v>0</v>
      </c>
    </row>
    <row r="150" spans="1:2" x14ac:dyDescent="0.25">
      <c r="A150" s="5">
        <v>3.4049999999999998</v>
      </c>
      <c r="B150" s="32">
        <v>0</v>
      </c>
    </row>
    <row r="151" spans="1:2" x14ac:dyDescent="0.25">
      <c r="A151" s="5">
        <v>3.4660000000000002</v>
      </c>
      <c r="B151" s="32">
        <v>0</v>
      </c>
    </row>
    <row r="152" spans="1:2" x14ac:dyDescent="0.25">
      <c r="A152" s="5">
        <v>3.5259999999999998</v>
      </c>
      <c r="B152" s="32">
        <v>0</v>
      </c>
    </row>
    <row r="153" spans="1:2" x14ac:dyDescent="0.25">
      <c r="A153" s="5">
        <v>3.5870000000000002</v>
      </c>
      <c r="B153" s="32">
        <v>0</v>
      </c>
    </row>
    <row r="154" spans="1:2" x14ac:dyDescent="0.25">
      <c r="A154" s="5">
        <v>3.6480000000000001</v>
      </c>
      <c r="B154" s="32">
        <v>0</v>
      </c>
    </row>
    <row r="155" spans="1:2" x14ac:dyDescent="0.25">
      <c r="A155" s="5">
        <v>3.7090000000000001</v>
      </c>
      <c r="B155" s="32">
        <v>0</v>
      </c>
    </row>
    <row r="156" spans="1:2" x14ac:dyDescent="0.25">
      <c r="A156" s="5">
        <v>3.77</v>
      </c>
      <c r="B156" s="32">
        <v>0</v>
      </c>
    </row>
    <row r="157" spans="1:2" x14ac:dyDescent="0.25">
      <c r="A157" s="5">
        <v>3.83</v>
      </c>
      <c r="B157" s="32">
        <v>0</v>
      </c>
    </row>
    <row r="158" spans="1:2" x14ac:dyDescent="0.25">
      <c r="A158" s="5">
        <v>3.891</v>
      </c>
      <c r="B158" s="32">
        <v>0</v>
      </c>
    </row>
    <row r="159" spans="1:2" x14ac:dyDescent="0.25">
      <c r="A159" s="5">
        <v>3.952</v>
      </c>
      <c r="B159" s="32">
        <v>0</v>
      </c>
    </row>
    <row r="160" spans="1:2" x14ac:dyDescent="0.25">
      <c r="A160" s="8">
        <v>4.0129999999999999</v>
      </c>
      <c r="B160" s="35">
        <v>0</v>
      </c>
    </row>
  </sheetData>
  <sheetProtection algorithmName="SHA-512" hashValue="BC92qqhI7lTZ51cVGm+xqGhNzG1Lt2zWQK51LdF6Kp3ZyQ/UCSUTdRtzMfsemSWpIPWsVKCddFUp3oDcow7VJw==" saltValue="rx31FdfOsq3fbI7vnP67oA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5:AH126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35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300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11</v>
      </c>
      <c r="B30" s="6">
        <v>0.46</v>
      </c>
      <c r="C30" s="6" t="s">
        <v>12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13</v>
      </c>
    </row>
    <row r="36" spans="1:5" x14ac:dyDescent="0.25">
      <c r="A36" s="17" t="s">
        <v>14</v>
      </c>
      <c r="B36" s="17">
        <v>100</v>
      </c>
      <c r="C36" s="17" t="s">
        <v>15</v>
      </c>
      <c r="D36" s="17" t="s">
        <v>16</v>
      </c>
      <c r="E36" s="17"/>
    </row>
    <row r="37" spans="1:5" hidden="1" x14ac:dyDescent="0.25">
      <c r="A37" s="17" t="s">
        <v>17</v>
      </c>
      <c r="B37" s="17">
        <v>14.7</v>
      </c>
      <c r="C37" s="17"/>
      <c r="D37" s="17" t="s">
        <v>16</v>
      </c>
      <c r="E37" s="17"/>
    </row>
    <row r="38" spans="1:5" hidden="1" x14ac:dyDescent="0.25">
      <c r="A38" s="17" t="s">
        <v>18</v>
      </c>
      <c r="B38" s="17">
        <v>9.0079999999999991</v>
      </c>
      <c r="C38" s="17"/>
      <c r="D38" s="17" t="s">
        <v>16</v>
      </c>
      <c r="E38" s="17"/>
    </row>
    <row r="40" spans="1:5" ht="48" customHeight="1" x14ac:dyDescent="0.25">
      <c r="A40" s="18" t="s">
        <v>19</v>
      </c>
      <c r="B40" s="19" t="s">
        <v>20</v>
      </c>
      <c r="C40" s="19" t="s">
        <v>21</v>
      </c>
      <c r="D40" s="19" t="s">
        <v>22</v>
      </c>
      <c r="E40" s="20" t="s">
        <v>23</v>
      </c>
    </row>
    <row r="41" spans="1:5" x14ac:dyDescent="0.25">
      <c r="A41" s="5">
        <v>0</v>
      </c>
      <c r="B41" s="6">
        <v>58.362404980687486</v>
      </c>
      <c r="C41" s="6">
        <f>58.3624049806874 * $B$36 / 100</f>
        <v>58.362404980687394</v>
      </c>
      <c r="D41" s="6">
        <v>7.3535333333333339</v>
      </c>
      <c r="E41" s="7">
        <f>7.35353333333333 * $B$36 / 100</f>
        <v>7.3535333333333304</v>
      </c>
    </row>
    <row r="42" spans="1:5" x14ac:dyDescent="0.25">
      <c r="A42" s="5">
        <v>5</v>
      </c>
      <c r="B42" s="6">
        <v>58.714375473994252</v>
      </c>
      <c r="C42" s="6">
        <f>58.7143754739942 * $B$36 / 100</f>
        <v>58.714375473994203</v>
      </c>
      <c r="D42" s="6">
        <v>7.3978808333333328</v>
      </c>
      <c r="E42" s="7">
        <f>7.39788083333333 * $B$36 / 100</f>
        <v>7.3978808333333301</v>
      </c>
    </row>
    <row r="43" spans="1:5" x14ac:dyDescent="0.25">
      <c r="A43" s="5">
        <v>10</v>
      </c>
      <c r="B43" s="6">
        <v>59.066345967301011</v>
      </c>
      <c r="C43" s="6">
        <f>59.066345967301 * $B$36 / 100</f>
        <v>59.066345967300997</v>
      </c>
      <c r="D43" s="6">
        <v>7.4422283333333326</v>
      </c>
      <c r="E43" s="7">
        <f>7.44222833333333 * $B$36 / 100</f>
        <v>7.4422283333333299</v>
      </c>
    </row>
    <row r="44" spans="1:5" x14ac:dyDescent="0.25">
      <c r="A44" s="5">
        <v>15</v>
      </c>
      <c r="B44" s="6">
        <v>59.41831646060777</v>
      </c>
      <c r="C44" s="6">
        <f>59.4183164606077 * $B$36 / 100</f>
        <v>59.418316460607706</v>
      </c>
      <c r="D44" s="6">
        <v>7.4865758333333332</v>
      </c>
      <c r="E44" s="7">
        <f>7.48657583333333 * $B$36 / 100</f>
        <v>7.4865758333333297</v>
      </c>
    </row>
    <row r="45" spans="1:5" x14ac:dyDescent="0.25">
      <c r="A45" s="5">
        <v>20</v>
      </c>
      <c r="B45" s="6">
        <v>59.770286953914542</v>
      </c>
      <c r="C45" s="6">
        <f>59.7702869539145 * $B$36 / 100</f>
        <v>59.7702869539145</v>
      </c>
      <c r="D45" s="6">
        <v>7.5309233333333339</v>
      </c>
      <c r="E45" s="7">
        <f>7.53092333333333 * $B$36 / 100</f>
        <v>7.5309233333333303</v>
      </c>
    </row>
    <row r="46" spans="1:5" x14ac:dyDescent="0.25">
      <c r="A46" s="5">
        <v>25</v>
      </c>
      <c r="B46" s="6">
        <v>60.122257447221287</v>
      </c>
      <c r="C46" s="6">
        <f>60.1222574472212 * $B$36 / 100</f>
        <v>60.122257447221202</v>
      </c>
      <c r="D46" s="6">
        <v>7.5752708333333327</v>
      </c>
      <c r="E46" s="7">
        <f>7.57527083333333 * $B$36 / 100</f>
        <v>7.575270833333331</v>
      </c>
    </row>
    <row r="47" spans="1:5" x14ac:dyDescent="0.25">
      <c r="A47" s="5">
        <v>30</v>
      </c>
      <c r="B47" s="6">
        <v>60.474227940528053</v>
      </c>
      <c r="C47" s="6">
        <f>60.474227940528 * $B$36 / 100</f>
        <v>60.474227940527996</v>
      </c>
      <c r="D47" s="6">
        <v>7.6196183333333334</v>
      </c>
      <c r="E47" s="7">
        <f>7.61961833333333 * $B$36 / 100</f>
        <v>7.6196183333333298</v>
      </c>
    </row>
    <row r="48" spans="1:5" x14ac:dyDescent="0.25">
      <c r="A48" s="5">
        <v>35</v>
      </c>
      <c r="B48" s="6">
        <v>60.826198433834811</v>
      </c>
      <c r="C48" s="6">
        <f>60.8261984338348 * $B$36 / 100</f>
        <v>60.826198433834797</v>
      </c>
      <c r="D48" s="6">
        <v>7.6639658333333331</v>
      </c>
      <c r="E48" s="7">
        <f>7.66396583333333 * $B$36 / 100</f>
        <v>7.6639658333333296</v>
      </c>
    </row>
    <row r="49" spans="1:18" x14ac:dyDescent="0.25">
      <c r="A49" s="5">
        <v>40</v>
      </c>
      <c r="B49" s="6">
        <v>61.17816892714157</v>
      </c>
      <c r="C49" s="6">
        <f>61.1781689271415 * $B$36 / 100</f>
        <v>61.178168927141499</v>
      </c>
      <c r="D49" s="6">
        <v>7.7083133333333329</v>
      </c>
      <c r="E49" s="7">
        <f>7.70831333333333 * $B$36 / 100</f>
        <v>7.7083133333333311</v>
      </c>
    </row>
    <row r="50" spans="1:18" x14ac:dyDescent="0.25">
      <c r="A50" s="5">
        <v>45</v>
      </c>
      <c r="B50" s="6">
        <v>61.530139420448329</v>
      </c>
      <c r="C50" s="6">
        <f>61.5301394204483 * $B$36 / 100</f>
        <v>61.530139420448307</v>
      </c>
      <c r="D50" s="6">
        <v>7.7526608333333327</v>
      </c>
      <c r="E50" s="7">
        <f>7.75266083333333 * $B$36 / 100</f>
        <v>7.75266083333333</v>
      </c>
    </row>
    <row r="51" spans="1:18" x14ac:dyDescent="0.25">
      <c r="A51" s="5">
        <v>50</v>
      </c>
      <c r="B51" s="6">
        <v>61.882109913755087</v>
      </c>
      <c r="C51" s="6">
        <f>61.882109913755 * $B$36 / 100</f>
        <v>61.882109913755002</v>
      </c>
      <c r="D51" s="6">
        <v>7.7970083333333324</v>
      </c>
      <c r="E51" s="7">
        <f>7.79700833333333 * $B$36 / 100</f>
        <v>7.7970083333333298</v>
      </c>
    </row>
    <row r="52" spans="1:18" x14ac:dyDescent="0.25">
      <c r="A52" s="5">
        <v>55</v>
      </c>
      <c r="B52" s="6">
        <v>62.234080407061853</v>
      </c>
      <c r="C52" s="6">
        <f>62.2340804070618 * $B$36 / 100</f>
        <v>62.234080407061803</v>
      </c>
      <c r="D52" s="6">
        <v>7.8413558333333331</v>
      </c>
      <c r="E52" s="7">
        <f>7.84135583333333 * $B$36 / 100</f>
        <v>7.8413558333333295</v>
      </c>
    </row>
    <row r="53" spans="1:18" x14ac:dyDescent="0.25">
      <c r="A53" s="5">
        <v>60</v>
      </c>
      <c r="B53" s="6">
        <v>62.586050900368612</v>
      </c>
      <c r="C53" s="6">
        <f>62.5860509003686 * $B$36 / 100</f>
        <v>62.586050900368598</v>
      </c>
      <c r="D53" s="6">
        <v>7.8857033333333328</v>
      </c>
      <c r="E53" s="7">
        <f>7.88570333333333 * $B$36 / 100</f>
        <v>7.8857033333333302</v>
      </c>
    </row>
    <row r="54" spans="1:18" x14ac:dyDescent="0.25">
      <c r="A54" s="5">
        <v>65</v>
      </c>
      <c r="B54" s="6">
        <v>62.938021393675371</v>
      </c>
      <c r="C54" s="6">
        <f>62.9380213936753 * $B$36 / 100</f>
        <v>62.938021393675299</v>
      </c>
      <c r="D54" s="6">
        <v>7.9300508333333326</v>
      </c>
      <c r="E54" s="7">
        <f>7.93005083333333 * $B$36 / 100</f>
        <v>7.9300508333333299</v>
      </c>
    </row>
    <row r="55" spans="1:18" x14ac:dyDescent="0.25">
      <c r="A55" s="5">
        <v>70</v>
      </c>
      <c r="B55" s="6">
        <v>63.289991886982129</v>
      </c>
      <c r="C55" s="6">
        <f>63.2899918869821 * $B$36 / 100</f>
        <v>63.289991886982101</v>
      </c>
      <c r="D55" s="6">
        <v>7.9743983333333324</v>
      </c>
      <c r="E55" s="7">
        <f>7.97439833333333 * $B$36 / 100</f>
        <v>7.9743983333333297</v>
      </c>
    </row>
    <row r="56" spans="1:18" x14ac:dyDescent="0.25">
      <c r="A56" s="5">
        <v>75</v>
      </c>
      <c r="B56" s="6">
        <v>63.641962380288888</v>
      </c>
      <c r="C56" s="6">
        <f>63.6419623802888 * $B$36 / 100</f>
        <v>63.641962380288803</v>
      </c>
      <c r="D56" s="6">
        <v>8.0187458333333321</v>
      </c>
      <c r="E56" s="7">
        <f>8.01874583333333 * $B$36 / 100</f>
        <v>8.0187458333333304</v>
      </c>
    </row>
    <row r="57" spans="1:18" x14ac:dyDescent="0.25">
      <c r="A57" s="8">
        <v>80</v>
      </c>
      <c r="B57" s="9">
        <v>63.993932873595647</v>
      </c>
      <c r="C57" s="9">
        <f>63.9939328735956 * $B$36 / 100</f>
        <v>63.993932873595597</v>
      </c>
      <c r="D57" s="9">
        <v>8.0630933333333328</v>
      </c>
      <c r="E57" s="10">
        <f>8.06309333333333 * $B$36 / 100</f>
        <v>8.0630933333333292</v>
      </c>
    </row>
    <row r="59" spans="1:18" ht="28.9" customHeight="1" x14ac:dyDescent="0.5">
      <c r="A59" s="1" t="s">
        <v>24</v>
      </c>
      <c r="B59" s="1"/>
    </row>
    <row r="60" spans="1:18" x14ac:dyDescent="0.25">
      <c r="A60" s="21" t="s">
        <v>25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26</v>
      </c>
      <c r="B61" s="6">
        <f>0 * $B$38 + (1 - 0) * $B$37</f>
        <v>14.7</v>
      </c>
      <c r="C61" s="6">
        <f>0.0625 * $B$38 + (1 - 0.0625) * $B$37</f>
        <v>14.344250000000001</v>
      </c>
      <c r="D61" s="6">
        <f>0.125 * $B$38 + (1 - 0.125) * $B$37</f>
        <v>13.988499999999998</v>
      </c>
      <c r="E61" s="6">
        <f>0.1875 * $B$38 + (1 - 0.1875) * $B$37</f>
        <v>13.63275</v>
      </c>
      <c r="F61" s="6">
        <f>0.25 * $B$38 + (1 - 0.25) * $B$37</f>
        <v>13.276999999999997</v>
      </c>
      <c r="G61" s="6">
        <f>0.3125 * $B$38 + (1 - 0.3125) * $B$37</f>
        <v>12.921249999999999</v>
      </c>
      <c r="H61" s="6">
        <f>0.375 * $B$38 + (1 - 0.375) * $B$37</f>
        <v>12.5655</v>
      </c>
      <c r="I61" s="6">
        <f>0.4375 * $B$38 + (1 - 0.4375) * $B$37</f>
        <v>12.20975</v>
      </c>
      <c r="J61" s="6">
        <f>0.5 * $B$38 + (1 - 0.5) * $B$37</f>
        <v>11.853999999999999</v>
      </c>
      <c r="K61" s="6">
        <f>0.5625 * $B$38 + (1 - 0.5625) * $B$37</f>
        <v>11.498249999999999</v>
      </c>
      <c r="L61" s="6">
        <f>0.625 * $B$38 + (1 - 0.625) * $B$37</f>
        <v>11.142499999999998</v>
      </c>
      <c r="M61" s="6">
        <f>0.6875 * $B$38 + (1 - 0.6875) * $B$37</f>
        <v>10.78675</v>
      </c>
      <c r="N61" s="6">
        <f>0.75 * $B$38 + (1 - 0.75) * $B$37</f>
        <v>10.430999999999999</v>
      </c>
      <c r="O61" s="6">
        <f>0.8125 * $B$38 + (1 - 0.8125) * $B$37</f>
        <v>10.075249999999999</v>
      </c>
      <c r="P61" s="6">
        <f>0.875 * $B$38 + (1 - 0.875) * $B$37</f>
        <v>9.7195</v>
      </c>
      <c r="Q61" s="6">
        <f>0.9375 * $B$38 + (1 - 0.9375) * $B$37</f>
        <v>9.3637499999999978</v>
      </c>
      <c r="R61" s="7">
        <f>1 * $B$38 + (1 - 1) * $B$37</f>
        <v>9.0079999999999991</v>
      </c>
    </row>
    <row r="62" spans="1:18" x14ac:dyDescent="0.25">
      <c r="A62" s="8" t="s">
        <v>27</v>
      </c>
      <c r="B62" s="9">
        <f>(0 * $B$38 + (1 - 0) * $B$37) * $B$36 / 100</f>
        <v>14.7</v>
      </c>
      <c r="C62" s="9">
        <f>(0.0625 * $B$38 + (1 - 0.0625) * $B$37) * $B$36 / 100</f>
        <v>14.344249999999999</v>
      </c>
      <c r="D62" s="9">
        <f>(0.125 * $B$38 + (1 - 0.125) * $B$37) * $B$36 / 100</f>
        <v>13.988499999999998</v>
      </c>
      <c r="E62" s="9">
        <f>(0.1875 * $B$38 + (1 - 0.1875) * $B$37) * $B$36 / 100</f>
        <v>13.632749999999998</v>
      </c>
      <c r="F62" s="9">
        <f>(0.25 * $B$38 + (1 - 0.25) * $B$37) * $B$36 / 100</f>
        <v>13.276999999999997</v>
      </c>
      <c r="G62" s="9">
        <f>(0.3125 * $B$38 + (1 - 0.3125) * $B$37) * $B$36 / 100</f>
        <v>12.921249999999997</v>
      </c>
      <c r="H62" s="9">
        <f>(0.375 * $B$38 + (1 - 0.375) * $B$37) * $B$36 / 100</f>
        <v>12.5655</v>
      </c>
      <c r="I62" s="9">
        <f>(0.4375 * $B$38 + (1 - 0.4375) * $B$37) * $B$36 / 100</f>
        <v>12.20975</v>
      </c>
      <c r="J62" s="9">
        <f>(0.5 * $B$38 + (1 - 0.5) * $B$37) * $B$36 / 100</f>
        <v>11.853999999999999</v>
      </c>
      <c r="K62" s="9">
        <f>(0.5625 * $B$38 + (1 - 0.5625) * $B$37) * $B$36 / 100</f>
        <v>11.498249999999999</v>
      </c>
      <c r="L62" s="9">
        <f>(0.625 * $B$38 + (1 - 0.625) * $B$37) * $B$36 / 100</f>
        <v>11.142499999999998</v>
      </c>
      <c r="M62" s="9">
        <f>(0.6875 * $B$38 + (1 - 0.6875) * $B$37) * $B$36 / 100</f>
        <v>10.78675</v>
      </c>
      <c r="N62" s="9">
        <f>(0.75 * $B$38 + (1 - 0.75) * $B$37) * $B$36 / 100</f>
        <v>10.430999999999999</v>
      </c>
      <c r="O62" s="9">
        <f>(0.8125 * $B$38 + (1 - 0.8125) * $B$37) * $B$36 / 100</f>
        <v>10.075249999999999</v>
      </c>
      <c r="P62" s="9">
        <f>(0.875 * $B$38 + (1 - 0.875) * $B$37) * $B$36 / 100</f>
        <v>9.7195</v>
      </c>
      <c r="Q62" s="9">
        <f>(0.9375 * $B$38 + (1 - 0.9375) * $B$37) * $B$36 / 100</f>
        <v>9.3637499999999978</v>
      </c>
      <c r="R62" s="10">
        <f>(1 * $B$38 + (1 - 1) * $B$37) * $B$36 / 100</f>
        <v>9.0079999999999991</v>
      </c>
    </row>
    <row r="64" spans="1:18" ht="28.9" customHeight="1" x14ac:dyDescent="0.5">
      <c r="A64" s="1" t="s">
        <v>28</v>
      </c>
      <c r="B64" s="1"/>
    </row>
    <row r="65" spans="1:34" x14ac:dyDescent="0.25">
      <c r="A65" s="24" t="s">
        <v>29</v>
      </c>
      <c r="B65" s="25" t="s">
        <v>30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x14ac:dyDescent="0.25">
      <c r="A66" s="27" t="s">
        <v>19</v>
      </c>
      <c r="B66" s="28">
        <v>4.5</v>
      </c>
      <c r="C66" s="28">
        <v>5</v>
      </c>
      <c r="D66" s="28">
        <v>5.5</v>
      </c>
      <c r="E66" s="28">
        <v>6</v>
      </c>
      <c r="F66" s="28">
        <v>6.5</v>
      </c>
      <c r="G66" s="28">
        <v>7</v>
      </c>
      <c r="H66" s="28">
        <v>7.5</v>
      </c>
      <c r="I66" s="28">
        <v>8</v>
      </c>
      <c r="J66" s="28">
        <v>8.5</v>
      </c>
      <c r="K66" s="28">
        <v>9</v>
      </c>
      <c r="L66" s="28">
        <v>9.5</v>
      </c>
      <c r="M66" s="28">
        <v>10</v>
      </c>
      <c r="N66" s="28">
        <v>10.5</v>
      </c>
      <c r="O66" s="28">
        <v>11</v>
      </c>
      <c r="P66" s="28">
        <v>11.5</v>
      </c>
      <c r="Q66" s="28">
        <v>12</v>
      </c>
      <c r="R66" s="28">
        <v>12.5</v>
      </c>
      <c r="S66" s="28">
        <v>13</v>
      </c>
      <c r="T66" s="28">
        <v>13.5</v>
      </c>
      <c r="U66" s="28">
        <v>14</v>
      </c>
      <c r="V66" s="28">
        <v>14.5</v>
      </c>
      <c r="W66" s="28">
        <v>15</v>
      </c>
      <c r="X66" s="28">
        <v>15.5</v>
      </c>
      <c r="Y66" s="28">
        <v>16</v>
      </c>
      <c r="Z66" s="28">
        <v>16.5</v>
      </c>
      <c r="AA66" s="28">
        <v>17</v>
      </c>
      <c r="AB66" s="28">
        <v>17.5</v>
      </c>
      <c r="AC66" s="28">
        <v>18</v>
      </c>
      <c r="AD66" s="28">
        <v>18.5</v>
      </c>
      <c r="AE66" s="28">
        <v>19</v>
      </c>
      <c r="AF66" s="28">
        <v>19.5</v>
      </c>
      <c r="AG66" s="28">
        <v>20</v>
      </c>
      <c r="AH66" s="29">
        <v>20.5</v>
      </c>
    </row>
    <row r="67" spans="1:34" x14ac:dyDescent="0.25">
      <c r="A67" s="30">
        <v>0</v>
      </c>
      <c r="B67" s="31">
        <v>5.5127764118920934</v>
      </c>
      <c r="C67" s="31">
        <v>4.8707456760223726</v>
      </c>
      <c r="D67" s="31">
        <v>4.2981990373554524</v>
      </c>
      <c r="E67" s="31">
        <v>3.789671280436556</v>
      </c>
      <c r="F67" s="31">
        <v>3.339921076664671</v>
      </c>
      <c r="G67" s="31">
        <v>2.9439309842925372</v>
      </c>
      <c r="H67" s="31">
        <v>2.5969074484266428</v>
      </c>
      <c r="I67" s="31">
        <v>2.2942808010272349</v>
      </c>
      <c r="J67" s="31">
        <v>2.0317052609083142</v>
      </c>
      <c r="K67" s="31">
        <v>1.8050589337376299</v>
      </c>
      <c r="L67" s="31">
        <v>1.610443812036694</v>
      </c>
      <c r="M67" s="31">
        <v>1.444185775180757</v>
      </c>
      <c r="N67" s="31">
        <v>1.302834589398848</v>
      </c>
      <c r="O67" s="31">
        <v>1.183163907773719</v>
      </c>
      <c r="P67" s="31">
        <v>1.0821712702419031</v>
      </c>
      <c r="Q67" s="31">
        <v>0.99707810359367754</v>
      </c>
      <c r="R67" s="31">
        <v>0.92532972147305792</v>
      </c>
      <c r="S67" s="31">
        <v>0.86459532437783571</v>
      </c>
      <c r="T67" s="31">
        <v>0.81276799965955937</v>
      </c>
      <c r="U67" s="31">
        <v>0.76796472152349882</v>
      </c>
      <c r="V67" s="31">
        <v>0.72852635102869812</v>
      </c>
      <c r="W67" s="31">
        <v>0.69301763608797917</v>
      </c>
      <c r="X67" s="31">
        <v>0.66022721146786822</v>
      </c>
      <c r="Y67" s="31">
        <v>0.62916759878869055</v>
      </c>
      <c r="Z67" s="31">
        <v>0.59907520652449453</v>
      </c>
      <c r="AA67" s="31">
        <v>0.56941033000308583</v>
      </c>
      <c r="AB67" s="31">
        <v>0.53985715140604995</v>
      </c>
      <c r="AC67" s="31">
        <v>0.51032373976869594</v>
      </c>
      <c r="AD67" s="31">
        <v>0.48094205098009368</v>
      </c>
      <c r="AE67" s="31">
        <v>0.45206792778308053</v>
      </c>
      <c r="AF67" s="31">
        <v>0.42428109977425188</v>
      </c>
      <c r="AG67" s="31">
        <v>0.39838518340389228</v>
      </c>
      <c r="AH67" s="32">
        <v>0.37540768197617069</v>
      </c>
    </row>
    <row r="68" spans="1:34" x14ac:dyDescent="0.25">
      <c r="A68" s="30">
        <v>5</v>
      </c>
      <c r="B68" s="31">
        <v>5.5607998906857476</v>
      </c>
      <c r="C68" s="31">
        <v>4.9132721189846196</v>
      </c>
      <c r="D68" s="31">
        <v>4.3356755416528374</v>
      </c>
      <c r="E68" s="31">
        <v>3.8225270240885671</v>
      </c>
      <c r="F68" s="31">
        <v>3.3685673185437239</v>
      </c>
      <c r="G68" s="31">
        <v>2.9687610641239792</v>
      </c>
      <c r="H68" s="31">
        <v>2.6182967867887572</v>
      </c>
      <c r="I68" s="31">
        <v>2.3125868993512291</v>
      </c>
      <c r="J68" s="31">
        <v>2.0472677014783329</v>
      </c>
      <c r="K68" s="31">
        <v>1.8181993796907561</v>
      </c>
      <c r="L68" s="31">
        <v>1.621466007362933</v>
      </c>
      <c r="M68" s="31">
        <v>1.453375544723057</v>
      </c>
      <c r="N68" s="31">
        <v>1.310459838853077</v>
      </c>
      <c r="O68" s="31">
        <v>1.1894746236886891</v>
      </c>
      <c r="P68" s="31">
        <v>1.0873995200193449</v>
      </c>
      <c r="Q68" s="31">
        <v>1.0014380354882659</v>
      </c>
      <c r="R68" s="31">
        <v>0.92901756459240181</v>
      </c>
      <c r="S68" s="31">
        <v>0.86778938868246591</v>
      </c>
      <c r="T68" s="31">
        <v>0.81562867596294275</v>
      </c>
      <c r="U68" s="31">
        <v>0.77063448149203839</v>
      </c>
      <c r="V68" s="31">
        <v>0.73112974718172574</v>
      </c>
      <c r="W68" s="31">
        <v>0.69566130179776664</v>
      </c>
      <c r="X68" s="31">
        <v>0.66299986095960772</v>
      </c>
      <c r="Y68" s="31">
        <v>0.6321400271405101</v>
      </c>
      <c r="Z68" s="31">
        <v>0.60230028966745408</v>
      </c>
      <c r="AA68" s="31">
        <v>0.57292302472118628</v>
      </c>
      <c r="AB68" s="31">
        <v>0.54367449533622281</v>
      </c>
      <c r="AC68" s="31">
        <v>0.51444485140079088</v>
      </c>
      <c r="AD68" s="31">
        <v>0.48534812965690932</v>
      </c>
      <c r="AE68" s="31">
        <v>0.45672225370034902</v>
      </c>
      <c r="AF68" s="31">
        <v>0.42912903398060481</v>
      </c>
      <c r="AG68" s="31">
        <v>0.40335416780093081</v>
      </c>
      <c r="AH68" s="32">
        <v>0.38040723931841219</v>
      </c>
    </row>
    <row r="69" spans="1:34" x14ac:dyDescent="0.25">
      <c r="A69" s="30">
        <v>10</v>
      </c>
      <c r="B69" s="31">
        <v>5.6092782421642724</v>
      </c>
      <c r="C69" s="31">
        <v>4.9562180366644881</v>
      </c>
      <c r="D69" s="31">
        <v>4.3735375563817618</v>
      </c>
      <c r="E69" s="31">
        <v>3.8557357475671892</v>
      </c>
      <c r="F69" s="31">
        <v>3.3975354433256202</v>
      </c>
      <c r="G69" s="31">
        <v>2.9938833636156592</v>
      </c>
      <c r="H69" s="31">
        <v>2.6399501152496589</v>
      </c>
      <c r="I69" s="31">
        <v>2.3311301918937302</v>
      </c>
      <c r="J69" s="31">
        <v>2.0630419740677359</v>
      </c>
      <c r="K69" s="31">
        <v>1.831527729145296</v>
      </c>
      <c r="L69" s="31">
        <v>1.6326536113537859</v>
      </c>
      <c r="M69" s="31">
        <v>1.4627096617743189</v>
      </c>
      <c r="N69" s="31">
        <v>1.318209808341785</v>
      </c>
      <c r="O69" s="31">
        <v>1.1958918658448141</v>
      </c>
      <c r="P69" s="31">
        <v>1.0927175359257839</v>
      </c>
      <c r="Q69" s="31">
        <v>1.0058724070808469</v>
      </c>
      <c r="R69" s="31">
        <v>0.93276595465989298</v>
      </c>
      <c r="S69" s="31">
        <v>0.87103154086656343</v>
      </c>
      <c r="T69" s="31">
        <v>0.81852641475827415</v>
      </c>
      <c r="U69" s="31">
        <v>0.77333171224616071</v>
      </c>
      <c r="V69" s="31">
        <v>0.73375245609514328</v>
      </c>
      <c r="W69" s="31">
        <v>0.69831755592389155</v>
      </c>
      <c r="X69" s="31">
        <v>0.66577980820479987</v>
      </c>
      <c r="Y69" s="31">
        <v>0.63511589626406639</v>
      </c>
      <c r="Z69" s="31">
        <v>0.60552639028159128</v>
      </c>
      <c r="AA69" s="31">
        <v>0.57643574729106273</v>
      </c>
      <c r="AB69" s="31">
        <v>0.54749231117992103</v>
      </c>
      <c r="AC69" s="31">
        <v>0.51856831268932879</v>
      </c>
      <c r="AD69" s="31">
        <v>0.48975986941423588</v>
      </c>
      <c r="AE69" s="31">
        <v>0.46138698580336518</v>
      </c>
      <c r="AF69" s="31">
        <v>0.43399355315911242</v>
      </c>
      <c r="AG69" s="31">
        <v>0.40834734963768687</v>
      </c>
      <c r="AH69" s="32">
        <v>0.38544004024909378</v>
      </c>
    </row>
    <row r="70" spans="1:34" x14ac:dyDescent="0.25">
      <c r="A70" s="30">
        <v>15</v>
      </c>
      <c r="B70" s="31">
        <v>5.6582161782432152</v>
      </c>
      <c r="C70" s="31">
        <v>4.9995879544071169</v>
      </c>
      <c r="D70" s="31">
        <v>4.411789420316949</v>
      </c>
      <c r="E70" s="31">
        <v>3.889301603076738</v>
      </c>
      <c r="F70" s="31">
        <v>3.4268294166442672</v>
      </c>
      <c r="G70" s="31">
        <v>3.0193016618310722</v>
      </c>
      <c r="H70" s="31">
        <v>2.6618710263024412</v>
      </c>
      <c r="I70" s="31">
        <v>2.3499140845774118</v>
      </c>
      <c r="J70" s="31">
        <v>2.0790312980287871</v>
      </c>
      <c r="K70" s="31">
        <v>1.845047014883114</v>
      </c>
      <c r="L70" s="31">
        <v>1.644009470220698</v>
      </c>
      <c r="M70" s="31">
        <v>1.4721907859755901</v>
      </c>
      <c r="N70" s="31">
        <v>1.3260869709356069</v>
      </c>
      <c r="O70" s="31">
        <v>1.202417920742314</v>
      </c>
      <c r="P70" s="31">
        <v>1.098127417891025</v>
      </c>
      <c r="Q70" s="31">
        <v>1.0103831317308201</v>
      </c>
      <c r="R70" s="31">
        <v>0.93657661846451978</v>
      </c>
      <c r="S70" s="31">
        <v>0.87432332114870304</v>
      </c>
      <c r="T70" s="31">
        <v>0.82146256969371456</v>
      </c>
      <c r="U70" s="31">
        <v>0.77605758086362553</v>
      </c>
      <c r="V70" s="31">
        <v>0.73639545827627917</v>
      </c>
      <c r="W70" s="31">
        <v>0.700987192403285</v>
      </c>
      <c r="X70" s="31">
        <v>0.66856766056997874</v>
      </c>
      <c r="Y70" s="31">
        <v>0.63809562695547051</v>
      </c>
      <c r="Z70" s="31">
        <v>0.60875374259261672</v>
      </c>
      <c r="AA70" s="31">
        <v>0.57994854536800833</v>
      </c>
      <c r="AB70" s="31">
        <v>0.5513104600220321</v>
      </c>
      <c r="AC70" s="31">
        <v>0.5226937981488059</v>
      </c>
      <c r="AD70" s="31">
        <v>0.49417675819618267</v>
      </c>
      <c r="AE70" s="31">
        <v>0.46606142546581347</v>
      </c>
      <c r="AF70" s="31">
        <v>0.43887377211304102</v>
      </c>
      <c r="AG70" s="31">
        <v>0.41336365714701639</v>
      </c>
      <c r="AH70" s="32">
        <v>0.39050482643064649</v>
      </c>
    </row>
    <row r="71" spans="1:34" x14ac:dyDescent="0.25">
      <c r="A71" s="30">
        <v>20</v>
      </c>
      <c r="B71" s="31">
        <v>5.707618435117789</v>
      </c>
      <c r="C71" s="31">
        <v>5.0433864218373063</v>
      </c>
      <c r="D71" s="31">
        <v>4.4504354965127906</v>
      </c>
      <c r="E71" s="31">
        <v>3.9232287671011981</v>
      </c>
      <c r="F71" s="31">
        <v>3.4564532284132401</v>
      </c>
      <c r="G71" s="31">
        <v>3.045019762113387</v>
      </c>
      <c r="H71" s="31">
        <v>2.6840631367198569</v>
      </c>
      <c r="I71" s="31">
        <v>2.3689420076046241</v>
      </c>
      <c r="J71" s="31">
        <v>2.0952389169934209</v>
      </c>
      <c r="K71" s="31">
        <v>1.858760293965724</v>
      </c>
      <c r="L71" s="31">
        <v>1.655536454454781</v>
      </c>
      <c r="M71" s="31">
        <v>1.481821601247566</v>
      </c>
      <c r="N71" s="31">
        <v>1.3340938239848319</v>
      </c>
      <c r="O71" s="31">
        <v>1.209055099161076</v>
      </c>
      <c r="P71" s="31">
        <v>1.103631290124542</v>
      </c>
      <c r="Q71" s="31">
        <v>1.0149721470772419</v>
      </c>
      <c r="R71" s="31">
        <v>0.94045130707493452</v>
      </c>
      <c r="S71" s="31">
        <v>0.8776662940271277</v>
      </c>
      <c r="T71" s="31">
        <v>0.82443851869709384</v>
      </c>
      <c r="U71" s="31">
        <v>0.77881327870184669</v>
      </c>
      <c r="V71" s="31">
        <v>0.73905975851214645</v>
      </c>
      <c r="W71" s="31">
        <v>0.70367102945255655</v>
      </c>
      <c r="X71" s="31">
        <v>0.67136404970132624</v>
      </c>
      <c r="Y71" s="31">
        <v>0.64107966429050656</v>
      </c>
      <c r="Z71" s="31">
        <v>0.61198260510588109</v>
      </c>
      <c r="AA71" s="31">
        <v>0.58346149088697352</v>
      </c>
      <c r="AB71" s="31">
        <v>0.55512882722712742</v>
      </c>
      <c r="AC71" s="31">
        <v>0.52682100657334441</v>
      </c>
      <c r="AD71" s="31">
        <v>0.49859830822644102</v>
      </c>
      <c r="AE71" s="31">
        <v>0.4707448983409962</v>
      </c>
      <c r="AF71" s="31">
        <v>0.44376882992530409</v>
      </c>
      <c r="AG71" s="31">
        <v>0.4184020428414108</v>
      </c>
      <c r="AH71" s="32">
        <v>0.39560036380518332</v>
      </c>
    </row>
    <row r="72" spans="1:34" x14ac:dyDescent="0.25">
      <c r="A72" s="30">
        <v>25</v>
      </c>
      <c r="B72" s="31">
        <v>5.7574897732628738</v>
      </c>
      <c r="C72" s="31">
        <v>5.0876180128595374</v>
      </c>
      <c r="D72" s="31">
        <v>4.4894801723033551</v>
      </c>
      <c r="E72" s="31">
        <v>3.9575214404042178</v>
      </c>
      <c r="F72" s="31">
        <v>3.4864108928257802</v>
      </c>
      <c r="G72" s="31">
        <v>3.0710414920854281</v>
      </c>
      <c r="H72" s="31">
        <v>2.7065300875543268</v>
      </c>
      <c r="I72" s="31">
        <v>2.388217415457373</v>
      </c>
      <c r="J72" s="31">
        <v>2.111668098873237</v>
      </c>
      <c r="K72" s="31">
        <v>1.872670647734328</v>
      </c>
      <c r="L72" s="31">
        <v>1.667237458826816</v>
      </c>
      <c r="M72" s="31">
        <v>1.491604815790619</v>
      </c>
      <c r="N72" s="31">
        <v>1.34223288911942</v>
      </c>
      <c r="O72" s="31">
        <v>1.215805736160642</v>
      </c>
      <c r="P72" s="31">
        <v>1.10923130111547</v>
      </c>
      <c r="Q72" s="31">
        <v>1.019641415038848</v>
      </c>
      <c r="R72" s="31">
        <v>0.94439179583945554</v>
      </c>
      <c r="S72" s="31">
        <v>0.88106204827974444</v>
      </c>
      <c r="T72" s="31">
        <v>0.82745566397591608</v>
      </c>
      <c r="U72" s="31">
        <v>0.78160002139790996</v>
      </c>
      <c r="V72" s="31">
        <v>0.74174638586943686</v>
      </c>
      <c r="W72" s="31">
        <v>0.70636990956796897</v>
      </c>
      <c r="X72" s="31">
        <v>0.67416963152470355</v>
      </c>
      <c r="Y72" s="31">
        <v>0.64406847762461616</v>
      </c>
      <c r="Z72" s="31">
        <v>0.61521326060642734</v>
      </c>
      <c r="AA72" s="31">
        <v>0.58697468006259956</v>
      </c>
      <c r="AB72" s="31">
        <v>0.55894732243938705</v>
      </c>
      <c r="AC72" s="31">
        <v>0.53094966103674668</v>
      </c>
      <c r="AD72" s="31">
        <v>0.50302405600843147</v>
      </c>
      <c r="AE72" s="31">
        <v>0.47543675436191529</v>
      </c>
      <c r="AF72" s="31">
        <v>0.44867788995845709</v>
      </c>
      <c r="AG72" s="31">
        <v>0.42346148351303359</v>
      </c>
      <c r="AH72" s="32">
        <v>0.40072544259443882</v>
      </c>
    </row>
    <row r="73" spans="1:34" x14ac:dyDescent="0.25">
      <c r="A73" s="30">
        <v>30</v>
      </c>
      <c r="B73" s="31">
        <v>5.8078349774330249</v>
      </c>
      <c r="C73" s="31">
        <v>5.1322873256579413</v>
      </c>
      <c r="D73" s="31">
        <v>4.5289278593023692</v>
      </c>
      <c r="E73" s="31">
        <v>3.9921838480291232</v>
      </c>
      <c r="F73" s="31">
        <v>3.5167064483547912</v>
      </c>
      <c r="G73" s="31">
        <v>3.0973707036497018</v>
      </c>
      <c r="H73" s="31">
        <v>2.729275544137939</v>
      </c>
      <c r="I73" s="31">
        <v>2.4077437868973401</v>
      </c>
      <c r="J73" s="31">
        <v>2.128322135859503</v>
      </c>
      <c r="K73" s="31">
        <v>1.8867811818097719</v>
      </c>
      <c r="L73" s="31">
        <v>1.679115402387253</v>
      </c>
      <c r="M73" s="31">
        <v>1.5015431620847901</v>
      </c>
      <c r="N73" s="31">
        <v>1.350506712248996</v>
      </c>
      <c r="O73" s="31">
        <v>1.2226721910802389</v>
      </c>
      <c r="P73" s="31">
        <v>1.1149296236326229</v>
      </c>
      <c r="Q73" s="31">
        <v>1.0243929218140271</v>
      </c>
      <c r="R73" s="31">
        <v>0.9483998843860717</v>
      </c>
      <c r="S73" s="31">
        <v>0.88451219696412808</v>
      </c>
      <c r="T73" s="31">
        <v>0.8305154320173409</v>
      </c>
      <c r="U73" s="31">
        <v>0.78441904886858449</v>
      </c>
      <c r="V73" s="31">
        <v>0.74445639369448191</v>
      </c>
      <c r="W73" s="31">
        <v>0.70908469952546227</v>
      </c>
      <c r="X73" s="31">
        <v>0.6769850862456348</v>
      </c>
      <c r="Y73" s="31">
        <v>0.64706256059292688</v>
      </c>
      <c r="Z73" s="31">
        <v>0.61844601615896799</v>
      </c>
      <c r="AA73" s="31">
        <v>0.59048823338917</v>
      </c>
      <c r="AB73" s="31">
        <v>0.56276587958272206</v>
      </c>
      <c r="AC73" s="31">
        <v>0.53507950889250133</v>
      </c>
      <c r="AD73" s="31">
        <v>0.50745356232519612</v>
      </c>
      <c r="AE73" s="31">
        <v>0.4801363677412242</v>
      </c>
      <c r="AF73" s="31">
        <v>0.45360013985476072</v>
      </c>
      <c r="AG73" s="31">
        <v>0.42854098023372</v>
      </c>
      <c r="AH73" s="32">
        <v>0.40587887729983052</v>
      </c>
    </row>
    <row r="74" spans="1:34" x14ac:dyDescent="0.25">
      <c r="A74" s="30">
        <v>35</v>
      </c>
      <c r="B74" s="31">
        <v>5.8586588566624602</v>
      </c>
      <c r="C74" s="31">
        <v>5.1773989826963343</v>
      </c>
      <c r="D74" s="31">
        <v>4.5687829934032314</v>
      </c>
      <c r="E74" s="31">
        <v>4.0272202392989014</v>
      </c>
      <c r="F74" s="31">
        <v>3.547343957752862</v>
      </c>
      <c r="G74" s="31">
        <v>3.124011272988374</v>
      </c>
      <c r="H74" s="31">
        <v>2.7523031960824542</v>
      </c>
      <c r="I74" s="31">
        <v>2.427524624965876</v>
      </c>
      <c r="J74" s="31">
        <v>2.1452043444231621</v>
      </c>
      <c r="K74" s="31">
        <v>1.9010950260925961</v>
      </c>
      <c r="L74" s="31">
        <v>1.6911732284662091</v>
      </c>
      <c r="M74" s="31">
        <v>1.511639396889783</v>
      </c>
      <c r="N74" s="31">
        <v>1.3589178635628669</v>
      </c>
      <c r="O74" s="31">
        <v>1.229656847538749</v>
      </c>
      <c r="P74" s="31">
        <v>1.120728454724478</v>
      </c>
      <c r="Q74" s="31">
        <v>1.0292286778808599</v>
      </c>
      <c r="R74" s="31">
        <v>0.95247739662244368</v>
      </c>
      <c r="S74" s="31">
        <v>0.88801837741754275</v>
      </c>
      <c r="T74" s="31">
        <v>0.83361927358821653</v>
      </c>
      <c r="U74" s="31">
        <v>0.78727162531028849</v>
      </c>
      <c r="V74" s="31">
        <v>0.74719085961331166</v>
      </c>
      <c r="W74" s="31">
        <v>0.71181629038064009</v>
      </c>
      <c r="X74" s="31">
        <v>0.67981111834932562</v>
      </c>
      <c r="Y74" s="31">
        <v>0.65006243111021611</v>
      </c>
      <c r="Z74" s="31">
        <v>0.62168120310789199</v>
      </c>
      <c r="AA74" s="31">
        <v>0.59400229564067242</v>
      </c>
      <c r="AB74" s="31">
        <v>0.56658445686068326</v>
      </c>
      <c r="AC74" s="31">
        <v>0.53921032177376016</v>
      </c>
      <c r="AD74" s="31">
        <v>0.5118864122394875</v>
      </c>
      <c r="AE74" s="31">
        <v>0.48484313697124998</v>
      </c>
      <c r="AF74" s="31">
        <v>0.45853479153612747</v>
      </c>
      <c r="AG74" s="31">
        <v>0.43363955835497953</v>
      </c>
      <c r="AH74" s="32">
        <v>0.41105950670246821</v>
      </c>
    </row>
    <row r="75" spans="1:34" x14ac:dyDescent="0.25">
      <c r="A75" s="30">
        <v>40</v>
      </c>
      <c r="B75" s="31">
        <v>5.9099662442650596</v>
      </c>
      <c r="C75" s="31">
        <v>5.2229576307181844</v>
      </c>
      <c r="D75" s="31">
        <v>4.6090500347790027</v>
      </c>
      <c r="E75" s="31">
        <v>4.062634887816202</v>
      </c>
      <c r="F75" s="31">
        <v>3.578327508052229</v>
      </c>
      <c r="G75" s="31">
        <v>3.150967100563272</v>
      </c>
      <c r="H75" s="31">
        <v>2.7756167572792938</v>
      </c>
      <c r="I75" s="31">
        <v>2.4475634569839859</v>
      </c>
      <c r="J75" s="31">
        <v>2.1623180653148131</v>
      </c>
      <c r="K75" s="31">
        <v>1.9156153347629841</v>
      </c>
      <c r="L75" s="31">
        <v>1.7034139046734671</v>
      </c>
      <c r="M75" s="31">
        <v>1.521896301244974</v>
      </c>
      <c r="N75" s="31">
        <v>1.367468937529984</v>
      </c>
      <c r="O75" s="31">
        <v>1.2367621134347271</v>
      </c>
      <c r="P75" s="31">
        <v>1.126630015719176</v>
      </c>
      <c r="Q75" s="31">
        <v>1.0341507179970639</v>
      </c>
      <c r="R75" s="31">
        <v>0.95662618073588623</v>
      </c>
      <c r="S75" s="31">
        <v>0.89158225125687651</v>
      </c>
      <c r="T75" s="31">
        <v>0.83676866373503889</v>
      </c>
      <c r="U75" s="31">
        <v>0.79015903919911334</v>
      </c>
      <c r="V75" s="31">
        <v>0.74995088553160383</v>
      </c>
      <c r="W75" s="31">
        <v>0.71456559746878079</v>
      </c>
      <c r="X75" s="31">
        <v>0.68264845660062978</v>
      </c>
      <c r="Y75" s="31">
        <v>0.65306863137092996</v>
      </c>
      <c r="Z75" s="31">
        <v>0.62491917707721178</v>
      </c>
      <c r="AA75" s="31">
        <v>0.59751703587071792</v>
      </c>
      <c r="AB75" s="31">
        <v>0.57040303675649351</v>
      </c>
      <c r="AC75" s="31">
        <v>0.54334189559331669</v>
      </c>
      <c r="AD75" s="31">
        <v>0.51632221509370524</v>
      </c>
      <c r="AE75" s="31">
        <v>0.48955648482395753</v>
      </c>
      <c r="AF75" s="31">
        <v>0.46348108120413661</v>
      </c>
      <c r="AG75" s="31">
        <v>0.43875626750796942</v>
      </c>
      <c r="AH75" s="32">
        <v>0.41626619386309832</v>
      </c>
    </row>
    <row r="76" spans="1:34" x14ac:dyDescent="0.25">
      <c r="A76" s="30">
        <v>45</v>
      </c>
      <c r="B76" s="31">
        <v>5.9617619978343761</v>
      </c>
      <c r="C76" s="31">
        <v>5.2689679407466334</v>
      </c>
      <c r="D76" s="31">
        <v>4.6497334678824149</v>
      </c>
      <c r="E76" s="31">
        <v>4.098432091463347</v>
      </c>
      <c r="F76" s="31">
        <v>3.6096612105647981</v>
      </c>
      <c r="G76" s="31">
        <v>3.178242111115904</v>
      </c>
      <c r="H76" s="31">
        <v>2.799219965899546</v>
      </c>
      <c r="I76" s="31">
        <v>2.4678638345523538</v>
      </c>
      <c r="J76" s="31">
        <v>2.179666663564725</v>
      </c>
      <c r="K76" s="31">
        <v>1.930345286280795</v>
      </c>
      <c r="L76" s="31">
        <v>1.715840422898474</v>
      </c>
      <c r="M76" s="31">
        <v>1.532316680469398</v>
      </c>
      <c r="N76" s="31">
        <v>1.3761625528989849</v>
      </c>
      <c r="O76" s="31">
        <v>1.2439904209463879</v>
      </c>
      <c r="P76" s="31">
        <v>1.132636552224519</v>
      </c>
      <c r="Q76" s="31">
        <v>1.039161101200047</v>
      </c>
      <c r="R76" s="31">
        <v>0.96084810919338903</v>
      </c>
      <c r="S76" s="31">
        <v>0.89520550437871771</v>
      </c>
      <c r="T76" s="31">
        <v>0.83996510178397688</v>
      </c>
      <c r="U76" s="31">
        <v>0.79308260329082092</v>
      </c>
      <c r="V76" s="31">
        <v>0.75273759763469372</v>
      </c>
      <c r="W76" s="31">
        <v>0.71733356040480623</v>
      </c>
      <c r="X76" s="31">
        <v>0.68549785404407437</v>
      </c>
      <c r="Y76" s="31">
        <v>0.65608172784920726</v>
      </c>
      <c r="Z76" s="31">
        <v>0.62816031797064475</v>
      </c>
      <c r="AA76" s="31">
        <v>0.60103264741260187</v>
      </c>
      <c r="AB76" s="31">
        <v>0.57422162603304028</v>
      </c>
      <c r="AC76" s="31">
        <v>0.54747405054364517</v>
      </c>
      <c r="AD76" s="31">
        <v>0.52076060450990991</v>
      </c>
      <c r="AE76" s="31">
        <v>0.49427585835105248</v>
      </c>
      <c r="AF76" s="31">
        <v>0.46843826934003019</v>
      </c>
      <c r="AG76" s="31">
        <v>0.44389018160356042</v>
      </c>
      <c r="AH76" s="32">
        <v>0.42149782612216669</v>
      </c>
    </row>
    <row r="77" spans="1:34" x14ac:dyDescent="0.25">
      <c r="A77" s="30">
        <v>50</v>
      </c>
      <c r="B77" s="31">
        <v>6.0140509992436328</v>
      </c>
      <c r="C77" s="31">
        <v>5.3154346080844954</v>
      </c>
      <c r="D77" s="31">
        <v>4.6908378014458787</v>
      </c>
      <c r="E77" s="31">
        <v>4.1346161724023309</v>
      </c>
      <c r="F77" s="31">
        <v>3.6413492008821668</v>
      </c>
      <c r="G77" s="31">
        <v>3.205840253667442</v>
      </c>
      <c r="H77" s="31">
        <v>2.8231165843939801</v>
      </c>
      <c r="I77" s="31">
        <v>2.4884293335513381</v>
      </c>
      <c r="J77" s="31">
        <v>2.1972535284828409</v>
      </c>
      <c r="K77" s="31">
        <v>1.9452880833855719</v>
      </c>
      <c r="L77" s="31">
        <v>1.728455799310356</v>
      </c>
      <c r="M77" s="31">
        <v>1.542903364161774</v>
      </c>
      <c r="N77" s="31">
        <v>1.385001352698171</v>
      </c>
      <c r="O77" s="31">
        <v>1.251344226531631</v>
      </c>
      <c r="P77" s="31">
        <v>1.138750334127999</v>
      </c>
      <c r="Q77" s="31">
        <v>1.0442619108068789</v>
      </c>
      <c r="R77" s="31">
        <v>0.9651450787416197</v>
      </c>
      <c r="S77" s="31">
        <v>0.89888984695932495</v>
      </c>
      <c r="T77" s="31">
        <v>0.84321011134086976</v>
      </c>
      <c r="U77" s="31">
        <v>0.79604365462084459</v>
      </c>
      <c r="V77" s="31">
        <v>0.75555214638762369</v>
      </c>
      <c r="W77" s="31">
        <v>0.7201211430833494</v>
      </c>
      <c r="X77" s="31">
        <v>0.6883600880038615</v>
      </c>
      <c r="Y77" s="31">
        <v>0.65910231129881147</v>
      </c>
      <c r="Z77" s="31">
        <v>0.63140502997159065</v>
      </c>
      <c r="AA77" s="31">
        <v>0.60454934787929715</v>
      </c>
      <c r="AB77" s="31">
        <v>0.57804025573287821</v>
      </c>
      <c r="AC77" s="31">
        <v>0.55160663109691843</v>
      </c>
      <c r="AD77" s="31">
        <v>0.52520123838984378</v>
      </c>
      <c r="AE77" s="31">
        <v>0.49900072888382141</v>
      </c>
      <c r="AF77" s="31">
        <v>0.47340564070472979</v>
      </c>
      <c r="AG77" s="31">
        <v>0.44904039883221708</v>
      </c>
      <c r="AH77" s="32">
        <v>0.42675331509975573</v>
      </c>
    </row>
    <row r="78" spans="1:34" x14ac:dyDescent="0.25">
      <c r="A78" s="30">
        <v>55</v>
      </c>
      <c r="B78" s="31">
        <v>6.0668381546457191</v>
      </c>
      <c r="C78" s="31">
        <v>5.3623623523142498</v>
      </c>
      <c r="D78" s="31">
        <v>4.7323675684814486</v>
      </c>
      <c r="E78" s="31">
        <v>4.1711914770748093</v>
      </c>
      <c r="F78" s="31">
        <v>3.67339563887557</v>
      </c>
      <c r="G78" s="31">
        <v>3.2337655015187212</v>
      </c>
      <c r="H78" s="31">
        <v>2.847310399493014</v>
      </c>
      <c r="I78" s="31">
        <v>2.5092635541409432</v>
      </c>
      <c r="J78" s="31">
        <v>2.2150820736587691</v>
      </c>
      <c r="K78" s="31">
        <v>1.9604469530964981</v>
      </c>
      <c r="L78" s="31">
        <v>1.7412630743578981</v>
      </c>
      <c r="M78" s="31">
        <v>1.5536592062004719</v>
      </c>
      <c r="N78" s="31">
        <v>1.3939880042354971</v>
      </c>
      <c r="O78" s="31">
        <v>1.2588260109280049</v>
      </c>
      <c r="P78" s="31">
        <v>1.1449736555967529</v>
      </c>
      <c r="Q78" s="31">
        <v>1.049455254414293</v>
      </c>
      <c r="R78" s="31">
        <v>0.96951901040689836</v>
      </c>
      <c r="S78" s="31">
        <v>0.90263701345460456</v>
      </c>
      <c r="T78" s="31">
        <v>0.84650524029122032</v>
      </c>
      <c r="U78" s="31">
        <v>0.79904355450427567</v>
      </c>
      <c r="V78" s="31">
        <v>0.75839570653505917</v>
      </c>
      <c r="W78" s="31">
        <v>0.7229293336786643</v>
      </c>
      <c r="X78" s="31">
        <v>0.69123596008386146</v>
      </c>
      <c r="Y78" s="31">
        <v>0.66213099675322529</v>
      </c>
      <c r="Z78" s="31">
        <v>0.63465374154307408</v>
      </c>
      <c r="AA78" s="31">
        <v>0.60806737916345854</v>
      </c>
      <c r="AB78" s="31">
        <v>0.58185898117823254</v>
      </c>
      <c r="AC78" s="31">
        <v>0.55573950600494393</v>
      </c>
      <c r="AD78" s="31">
        <v>0.52964379891492896</v>
      </c>
      <c r="AE78" s="31">
        <v>0.50373059203329296</v>
      </c>
      <c r="AF78" s="31">
        <v>0.47838250433883561</v>
      </c>
      <c r="AG78" s="31">
        <v>0.45420604166416129</v>
      </c>
      <c r="AH78" s="32">
        <v>0.43203159669563729</v>
      </c>
    </row>
    <row r="79" spans="1:34" x14ac:dyDescent="0.25">
      <c r="A79" s="30">
        <v>60</v>
      </c>
      <c r="B79" s="31">
        <v>6.1201283944731841</v>
      </c>
      <c r="C79" s="31">
        <v>5.4097559172980318</v>
      </c>
      <c r="D79" s="31">
        <v>4.774327326280865</v>
      </c>
      <c r="E79" s="31">
        <v>4.2081623762021021</v>
      </c>
      <c r="F79" s="31">
        <v>3.705804708695918</v>
      </c>
      <c r="G79" s="31">
        <v>3.2620218522502382</v>
      </c>
      <c r="H79" s="31">
        <v>2.8718052222067421</v>
      </c>
      <c r="I79" s="31">
        <v>2.5303701207608569</v>
      </c>
      <c r="J79" s="31">
        <v>2.2331557369617769</v>
      </c>
      <c r="K79" s="31">
        <v>1.9758251467124399</v>
      </c>
      <c r="L79" s="31">
        <v>1.754265312769546</v>
      </c>
      <c r="M79" s="31">
        <v>1.564587084743529</v>
      </c>
      <c r="N79" s="31">
        <v>1.403125199098604</v>
      </c>
      <c r="O79" s="31">
        <v>1.2664382791527251</v>
      </c>
      <c r="P79" s="31">
        <v>1.1513088350775971</v>
      </c>
      <c r="Q79" s="31">
        <v>1.0547432638986849</v>
      </c>
      <c r="R79" s="31">
        <v>0.97397184949521209</v>
      </c>
      <c r="S79" s="31">
        <v>0.9064487626001374</v>
      </c>
      <c r="T79" s="31">
        <v>0.8498520608002027</v>
      </c>
      <c r="U79" s="31">
        <v>0.80208368853586798</v>
      </c>
      <c r="V79" s="31">
        <v>0.76126947710136172</v>
      </c>
      <c r="W79" s="31">
        <v>0.72575914464469526</v>
      </c>
      <c r="X79" s="31">
        <v>0.69412629616758459</v>
      </c>
      <c r="Y79" s="31">
        <v>0.66516842352553784</v>
      </c>
      <c r="Z79" s="31">
        <v>0.63790690542779782</v>
      </c>
      <c r="AA79" s="31">
        <v>0.6115870074373575</v>
      </c>
      <c r="AB79" s="31">
        <v>0.58567788197098558</v>
      </c>
      <c r="AC79" s="31">
        <v>0.5598725682991752</v>
      </c>
      <c r="AD79" s="31">
        <v>0.53408799254620831</v>
      </c>
      <c r="AE79" s="31">
        <v>0.50846496769008465</v>
      </c>
      <c r="AF79" s="31">
        <v>0.48336819356256933</v>
      </c>
      <c r="AG79" s="31">
        <v>0.45938625684918583</v>
      </c>
      <c r="AH79" s="32">
        <v>0.43733163108923978</v>
      </c>
    </row>
    <row r="80" spans="1:34" x14ac:dyDescent="0.25">
      <c r="A80" s="30">
        <v>65</v>
      </c>
      <c r="B80" s="31">
        <v>6.1739266734382516</v>
      </c>
      <c r="C80" s="31">
        <v>5.4576200711776606</v>
      </c>
      <c r="D80" s="31">
        <v>4.8167216564155266</v>
      </c>
      <c r="E80" s="31">
        <v>4.2455332647852053</v>
      </c>
      <c r="F80" s="31">
        <v>3.738580618773804</v>
      </c>
      <c r="G80" s="31">
        <v>3.290613327722173</v>
      </c>
      <c r="H80" s="31">
        <v>2.8966048878249282</v>
      </c>
      <c r="I80" s="31">
        <v>2.5517526821304339</v>
      </c>
      <c r="J80" s="31">
        <v>2.2514779805408121</v>
      </c>
      <c r="K80" s="31">
        <v>1.9914259398119309</v>
      </c>
      <c r="L80" s="31">
        <v>1.767465603553426</v>
      </c>
      <c r="M80" s="31">
        <v>1.575689902228665</v>
      </c>
      <c r="N80" s="31">
        <v>1.412415653154792</v>
      </c>
      <c r="O80" s="31">
        <v>1.274183560502699</v>
      </c>
      <c r="P80" s="31">
        <v>1.157758215297009</v>
      </c>
      <c r="Q80" s="31">
        <v>1.0601280954161389</v>
      </c>
      <c r="R80" s="31">
        <v>0.97850556559222612</v>
      </c>
      <c r="S80" s="31">
        <v>0.91032687741117901</v>
      </c>
      <c r="T80" s="31">
        <v>0.85325216931265491</v>
      </c>
      <c r="U80" s="31">
        <v>0.80516546659005694</v>
      </c>
      <c r="V80" s="31">
        <v>0.76417468139054656</v>
      </c>
      <c r="W80" s="31">
        <v>0.72861161271506525</v>
      </c>
      <c r="X80" s="31">
        <v>0.69703194641825317</v>
      </c>
      <c r="Y80" s="31">
        <v>0.6682152552085634</v>
      </c>
      <c r="Z80" s="31">
        <v>0.64116499864817034</v>
      </c>
      <c r="AA80" s="31">
        <v>0.61510852315297782</v>
      </c>
      <c r="AB80" s="31">
        <v>0.58949706199271312</v>
      </c>
      <c r="AC80" s="31">
        <v>0.56400573529079334</v>
      </c>
      <c r="AD80" s="31">
        <v>0.53853355002441472</v>
      </c>
      <c r="AE80" s="31">
        <v>0.51320340002455123</v>
      </c>
      <c r="AF80" s="31">
        <v>0.4883620659758599</v>
      </c>
      <c r="AG80" s="31">
        <v>0.46458021541681321</v>
      </c>
      <c r="AH80" s="32">
        <v>0.44265240273965761</v>
      </c>
    </row>
    <row r="81" spans="1:34" x14ac:dyDescent="0.25">
      <c r="A81" s="30">
        <v>70</v>
      </c>
      <c r="B81" s="31">
        <v>6.2282379705328133</v>
      </c>
      <c r="C81" s="31">
        <v>5.5059596063746126</v>
      </c>
      <c r="D81" s="31">
        <v>4.8595551647365074</v>
      </c>
      <c r="E81" s="31">
        <v>4.283308562104776</v>
      </c>
      <c r="F81" s="31">
        <v>3.771727601819467</v>
      </c>
      <c r="G81" s="31">
        <v>3.3195439740743549</v>
      </c>
      <c r="H81" s="31">
        <v>2.9217132559169978</v>
      </c>
      <c r="I81" s="31">
        <v>2.573414911248689</v>
      </c>
      <c r="J81" s="31">
        <v>2.2700522908244771</v>
      </c>
      <c r="K81" s="31">
        <v>2.0072526322531679</v>
      </c>
      <c r="L81" s="31">
        <v>1.780867059997324</v>
      </c>
      <c r="M81" s="31">
        <v>1.5869705853732541</v>
      </c>
      <c r="N81" s="31">
        <v>1.421862106551028</v>
      </c>
      <c r="O81" s="31">
        <v>1.282064408554469</v>
      </c>
      <c r="P81" s="31">
        <v>1.1643241632611361</v>
      </c>
      <c r="Q81" s="31">
        <v>1.06561192940238</v>
      </c>
      <c r="R81" s="31">
        <v>0.98312215256326718</v>
      </c>
      <c r="S81" s="31">
        <v>0.91427316518263679</v>
      </c>
      <c r="T81" s="31">
        <v>0.85670718655308586</v>
      </c>
      <c r="U81" s="31">
        <v>0.80829032282093727</v>
      </c>
      <c r="V81" s="31">
        <v>0.76711256698630237</v>
      </c>
      <c r="W81" s="31">
        <v>0.73148779890303661</v>
      </c>
      <c r="X81" s="31">
        <v>0.69995378527872443</v>
      </c>
      <c r="Y81" s="31">
        <v>0.67127217967474628</v>
      </c>
      <c r="Z81" s="31">
        <v>0.64442852250620131</v>
      </c>
      <c r="AA81" s="31">
        <v>0.61863224104194903</v>
      </c>
      <c r="AB81" s="31">
        <v>0.59331664940463114</v>
      </c>
      <c r="AC81" s="31">
        <v>0.56813894857059566</v>
      </c>
      <c r="AD81" s="31">
        <v>0.54298022636998056</v>
      </c>
      <c r="AE81" s="31">
        <v>0.51794545748666465</v>
      </c>
      <c r="AF81" s="31">
        <v>0.49336350345828722</v>
      </c>
      <c r="AG81" s="31">
        <v>0.46978711267621892</v>
      </c>
      <c r="AH81" s="32">
        <v>0.44799292038565142</v>
      </c>
    </row>
    <row r="82" spans="1:34" x14ac:dyDescent="0.25">
      <c r="A82" s="30">
        <v>75</v>
      </c>
      <c r="B82" s="31">
        <v>6.283067289028426</v>
      </c>
      <c r="C82" s="31">
        <v>5.5547793395900369</v>
      </c>
      <c r="D82" s="31">
        <v>4.9028324813745394</v>
      </c>
      <c r="E82" s="31">
        <v>4.3214927117211461</v>
      </c>
      <c r="F82" s="31">
        <v>3.805249914822828</v>
      </c>
      <c r="G82" s="31">
        <v>3.3488178617263018</v>
      </c>
      <c r="H82" s="31">
        <v>2.9471342103320568</v>
      </c>
      <c r="I82" s="31">
        <v>2.595360505394309</v>
      </c>
      <c r="J82" s="31">
        <v>2.28888217852105</v>
      </c>
      <c r="K82" s="31">
        <v>2.023308548174017</v>
      </c>
      <c r="L82" s="31">
        <v>1.794472819668703</v>
      </c>
      <c r="M82" s="31">
        <v>1.598432085174343</v>
      </c>
      <c r="N82" s="31">
        <v>1.4314673237139479</v>
      </c>
      <c r="O82" s="31">
        <v>1.290083401164267</v>
      </c>
      <c r="P82" s="31">
        <v>1.1710090702558029</v>
      </c>
      <c r="Q82" s="31">
        <v>1.071196970572823</v>
      </c>
      <c r="R82" s="31">
        <v>0.98782362855333472</v>
      </c>
      <c r="S82" s="31">
        <v>0.91828945748910584</v>
      </c>
      <c r="T82" s="31">
        <v>0.86021875752566768</v>
      </c>
      <c r="U82" s="31">
        <v>0.81145971566228148</v>
      </c>
      <c r="V82" s="31">
        <v>0.77008440575197945</v>
      </c>
      <c r="W82" s="31">
        <v>0.73438878850156253</v>
      </c>
      <c r="X82" s="31">
        <v>0.70289271147153598</v>
      </c>
      <c r="Y82" s="31">
        <v>0.67433990907621133</v>
      </c>
      <c r="Z82" s="31">
        <v>0.64769800258363641</v>
      </c>
      <c r="AA82" s="31">
        <v>0.62215850011558327</v>
      </c>
      <c r="AB82" s="31">
        <v>0.59713679664762875</v>
      </c>
      <c r="AC82" s="31">
        <v>0.57227217400907737</v>
      </c>
      <c r="AD82" s="31">
        <v>0.54742780088297482</v>
      </c>
      <c r="AE82" s="31">
        <v>0.52269073280613654</v>
      </c>
      <c r="AF82" s="31">
        <v>0.49837191216914078</v>
      </c>
      <c r="AG82" s="31">
        <v>0.47500616821627872</v>
      </c>
      <c r="AH82" s="32">
        <v>0.4533522170456763</v>
      </c>
    </row>
    <row r="83" spans="1:34" x14ac:dyDescent="0.25">
      <c r="A83" s="33">
        <v>80</v>
      </c>
      <c r="B83" s="34">
        <v>6.3384196564763116</v>
      </c>
      <c r="C83" s="34">
        <v>5.6040841118047471</v>
      </c>
      <c r="D83" s="34">
        <v>4.9465582607400291</v>
      </c>
      <c r="E83" s="34">
        <v>4.3600901814742992</v>
      </c>
      <c r="F83" s="34">
        <v>3.8391518390534669</v>
      </c>
      <c r="G83" s="34">
        <v>3.378439085377182</v>
      </c>
      <c r="H83" s="34">
        <v>2.9728716591988569</v>
      </c>
      <c r="I83" s="34">
        <v>2.6175931861256481</v>
      </c>
      <c r="J83" s="34">
        <v>2.307971178618474</v>
      </c>
      <c r="K83" s="34">
        <v>2.039597035992009</v>
      </c>
      <c r="L83" s="34">
        <v>1.808286044414674</v>
      </c>
      <c r="M83" s="34">
        <v>1.6100773769086429</v>
      </c>
      <c r="N83" s="34">
        <v>1.4412340933498531</v>
      </c>
      <c r="O83" s="34">
        <v>1.2982431404679871</v>
      </c>
      <c r="P83" s="34">
        <v>1.17781535184648</v>
      </c>
      <c r="Q83" s="34">
        <v>1.0768854479225329</v>
      </c>
      <c r="R83" s="34">
        <v>0.99261203598708347</v>
      </c>
      <c r="S83" s="34">
        <v>0.922377610184834</v>
      </c>
      <c r="T83" s="34">
        <v>0.86378855151424361</v>
      </c>
      <c r="U83" s="34">
        <v>0.81467512782751583</v>
      </c>
      <c r="V83" s="34">
        <v>0.77309149383060316</v>
      </c>
      <c r="W83" s="34">
        <v>0.73731569108324013</v>
      </c>
      <c r="X83" s="34">
        <v>0.70584964799887828</v>
      </c>
      <c r="Y83" s="34">
        <v>0.67741917984474942</v>
      </c>
      <c r="Z83" s="34">
        <v>0.65097398874183376</v>
      </c>
      <c r="AA83" s="34">
        <v>0.62568766366483963</v>
      </c>
      <c r="AB83" s="34">
        <v>0.60095768044228315</v>
      </c>
      <c r="AC83" s="34">
        <v>0.576405401756377</v>
      </c>
      <c r="AD83" s="34">
        <v>0.55187607714311326</v>
      </c>
      <c r="AE83" s="34">
        <v>0.52743884299225041</v>
      </c>
      <c r="AF83" s="34">
        <v>0.50338672254730454</v>
      </c>
      <c r="AG83" s="34">
        <v>0.48023662590545169</v>
      </c>
      <c r="AH83" s="35">
        <v>0.45872935001780851</v>
      </c>
    </row>
    <row r="86" spans="1:34" ht="28.9" customHeight="1" x14ac:dyDescent="0.5">
      <c r="A86" s="1" t="s">
        <v>31</v>
      </c>
    </row>
    <row r="87" spans="1:34" ht="32.1" customHeight="1" x14ac:dyDescent="0.25"/>
    <row r="88" spans="1:34" x14ac:dyDescent="0.25">
      <c r="A88" s="2"/>
      <c r="B88" s="3"/>
      <c r="C88" s="3"/>
      <c r="D88" s="4"/>
    </row>
    <row r="89" spans="1:34" x14ac:dyDescent="0.25">
      <c r="A89" s="5" t="s">
        <v>32</v>
      </c>
      <c r="B89" s="6">
        <v>1.875</v>
      </c>
      <c r="C89" s="6" t="s">
        <v>12</v>
      </c>
      <c r="D89" s="7"/>
    </row>
    <row r="90" spans="1:34" x14ac:dyDescent="0.25">
      <c r="A90" s="8"/>
      <c r="B90" s="9"/>
      <c r="C90" s="9"/>
      <c r="D90" s="10"/>
    </row>
    <row r="93" spans="1:34" ht="48" customHeight="1" x14ac:dyDescent="0.25">
      <c r="A93" s="21" t="s">
        <v>33</v>
      </c>
      <c r="B93" s="23" t="s">
        <v>34</v>
      </c>
    </row>
    <row r="94" spans="1:34" x14ac:dyDescent="0.25">
      <c r="A94" s="5">
        <v>0</v>
      </c>
      <c r="B94" s="32">
        <v>0.37000000000000011</v>
      </c>
    </row>
    <row r="95" spans="1:34" x14ac:dyDescent="0.25">
      <c r="A95" s="5">
        <v>0.125</v>
      </c>
      <c r="B95" s="32">
        <v>0.37360624999999992</v>
      </c>
    </row>
    <row r="96" spans="1:34" x14ac:dyDescent="0.25">
      <c r="A96" s="5">
        <v>0.25</v>
      </c>
      <c r="B96" s="32">
        <v>0.28381944444444462</v>
      </c>
    </row>
    <row r="97" spans="1:2" x14ac:dyDescent="0.25">
      <c r="A97" s="5">
        <v>0.375</v>
      </c>
      <c r="B97" s="32">
        <v>0.18470669642857149</v>
      </c>
    </row>
    <row r="98" spans="1:2" x14ac:dyDescent="0.25">
      <c r="A98" s="5">
        <v>0.5</v>
      </c>
      <c r="B98" s="32">
        <v>0.13861111111111121</v>
      </c>
    </row>
    <row r="99" spans="1:2" x14ac:dyDescent="0.25">
      <c r="A99" s="5">
        <v>0.625</v>
      </c>
      <c r="B99" s="32">
        <v>0.1207638888888891</v>
      </c>
    </row>
    <row r="100" spans="1:2" x14ac:dyDescent="0.25">
      <c r="A100" s="5">
        <v>0.75</v>
      </c>
      <c r="B100" s="32">
        <v>0.1029166666666668</v>
      </c>
    </row>
    <row r="101" spans="1:2" x14ac:dyDescent="0.25">
      <c r="A101" s="5">
        <v>0.875</v>
      </c>
      <c r="B101" s="32">
        <v>7.3402777777778039E-2</v>
      </c>
    </row>
    <row r="102" spans="1:2" x14ac:dyDescent="0.25">
      <c r="A102" s="5">
        <v>1</v>
      </c>
      <c r="B102" s="32">
        <v>4.7222222222222283E-2</v>
      </c>
    </row>
    <row r="103" spans="1:2" x14ac:dyDescent="0.25">
      <c r="A103" s="5">
        <v>1.125</v>
      </c>
      <c r="B103" s="32">
        <v>2.406250000000033E-2</v>
      </c>
    </row>
    <row r="104" spans="1:2" x14ac:dyDescent="0.25">
      <c r="A104" s="5">
        <v>1.25</v>
      </c>
      <c r="B104" s="32">
        <v>1.7691249050873381E-2</v>
      </c>
    </row>
    <row r="105" spans="1:2" x14ac:dyDescent="0.25">
      <c r="A105" s="5">
        <v>1.375</v>
      </c>
      <c r="B105" s="32">
        <v>1.3727699530516779E-2</v>
      </c>
    </row>
    <row r="106" spans="1:2" x14ac:dyDescent="0.25">
      <c r="A106" s="5">
        <v>1.5</v>
      </c>
      <c r="B106" s="32">
        <v>1.0735849056604071E-2</v>
      </c>
    </row>
    <row r="107" spans="1:2" x14ac:dyDescent="0.25">
      <c r="A107" s="5">
        <v>1.625</v>
      </c>
      <c r="B107" s="32">
        <v>8.2594339622642527E-3</v>
      </c>
    </row>
    <row r="108" spans="1:2" x14ac:dyDescent="0.25">
      <c r="A108" s="5">
        <v>1.75</v>
      </c>
      <c r="B108" s="32">
        <v>5.7830188679246497E-3</v>
      </c>
    </row>
    <row r="109" spans="1:2" x14ac:dyDescent="0.25">
      <c r="A109" s="5">
        <v>1.875</v>
      </c>
      <c r="B109" s="32">
        <v>0</v>
      </c>
    </row>
    <row r="110" spans="1:2" x14ac:dyDescent="0.25">
      <c r="A110" s="5">
        <v>2</v>
      </c>
      <c r="B110" s="32">
        <v>0</v>
      </c>
    </row>
    <row r="111" spans="1:2" x14ac:dyDescent="0.25">
      <c r="A111" s="5">
        <v>2.125</v>
      </c>
      <c r="B111" s="32">
        <v>0</v>
      </c>
    </row>
    <row r="112" spans="1:2" x14ac:dyDescent="0.25">
      <c r="A112" s="5">
        <v>2.25</v>
      </c>
      <c r="B112" s="32">
        <v>0</v>
      </c>
    </row>
    <row r="113" spans="1:2" x14ac:dyDescent="0.25">
      <c r="A113" s="5">
        <v>2.375</v>
      </c>
      <c r="B113" s="32">
        <v>0</v>
      </c>
    </row>
    <row r="114" spans="1:2" x14ac:dyDescent="0.25">
      <c r="A114" s="5">
        <v>2.5</v>
      </c>
      <c r="B114" s="32">
        <v>0</v>
      </c>
    </row>
    <row r="115" spans="1:2" x14ac:dyDescent="0.25">
      <c r="A115" s="5">
        <v>2.625</v>
      </c>
      <c r="B115" s="32">
        <v>0</v>
      </c>
    </row>
    <row r="116" spans="1:2" x14ac:dyDescent="0.25">
      <c r="A116" s="5">
        <v>2.75</v>
      </c>
      <c r="B116" s="32">
        <v>0</v>
      </c>
    </row>
    <row r="117" spans="1:2" x14ac:dyDescent="0.25">
      <c r="A117" s="5">
        <v>2.875</v>
      </c>
      <c r="B117" s="32">
        <v>0</v>
      </c>
    </row>
    <row r="118" spans="1:2" x14ac:dyDescent="0.25">
      <c r="A118" s="5">
        <v>3</v>
      </c>
      <c r="B118" s="32">
        <v>0</v>
      </c>
    </row>
    <row r="119" spans="1:2" x14ac:dyDescent="0.25">
      <c r="A119" s="5">
        <v>3.125</v>
      </c>
      <c r="B119" s="32">
        <v>0</v>
      </c>
    </row>
    <row r="120" spans="1:2" x14ac:dyDescent="0.25">
      <c r="A120" s="5">
        <v>3.25</v>
      </c>
      <c r="B120" s="32">
        <v>0</v>
      </c>
    </row>
    <row r="121" spans="1:2" x14ac:dyDescent="0.25">
      <c r="A121" s="5">
        <v>3.375</v>
      </c>
      <c r="B121" s="32">
        <v>0</v>
      </c>
    </row>
    <row r="122" spans="1:2" x14ac:dyDescent="0.25">
      <c r="A122" s="5">
        <v>3.5</v>
      </c>
      <c r="B122" s="32">
        <v>0</v>
      </c>
    </row>
    <row r="123" spans="1:2" x14ac:dyDescent="0.25">
      <c r="A123" s="5">
        <v>3.625</v>
      </c>
      <c r="B123" s="32">
        <v>0</v>
      </c>
    </row>
    <row r="124" spans="1:2" x14ac:dyDescent="0.25">
      <c r="A124" s="5">
        <v>3.75</v>
      </c>
      <c r="B124" s="32">
        <v>0</v>
      </c>
    </row>
    <row r="125" spans="1:2" x14ac:dyDescent="0.25">
      <c r="A125" s="5">
        <v>3.875</v>
      </c>
      <c r="B125" s="32">
        <v>0</v>
      </c>
    </row>
    <row r="126" spans="1:2" x14ac:dyDescent="0.25">
      <c r="A126" s="8">
        <v>4</v>
      </c>
      <c r="B126" s="35">
        <v>0</v>
      </c>
    </row>
  </sheetData>
  <sheetProtection algorithmName="SHA-512" hashValue="lSvy+IMxrHxfdf99hqk0BN0o96LHy0x5MgM+3xgfevoKN5p23wZos1gHGMpQCEDtqu3K6fs7bC1xYomkSzDEfg==" saltValue="l6GXWiM6HZTJE7AEM+XYsQ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5:R56"/>
  <sheetViews>
    <sheetView workbookViewId="0">
      <selection activeCell="A11" sqref="A11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36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300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11</v>
      </c>
      <c r="B30" s="6">
        <v>0.46</v>
      </c>
      <c r="C30" s="6" t="s">
        <v>12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13</v>
      </c>
    </row>
    <row r="36" spans="1:5" x14ac:dyDescent="0.25">
      <c r="A36" s="17" t="s">
        <v>14</v>
      </c>
      <c r="B36" s="17">
        <v>100</v>
      </c>
      <c r="C36" s="17" t="s">
        <v>15</v>
      </c>
      <c r="D36" s="17" t="s">
        <v>16</v>
      </c>
      <c r="E36" s="17"/>
    </row>
    <row r="37" spans="1:5" hidden="1" x14ac:dyDescent="0.25">
      <c r="A37" s="17" t="s">
        <v>17</v>
      </c>
      <c r="B37" s="17">
        <v>14.7</v>
      </c>
      <c r="C37" s="17"/>
      <c r="D37" s="17" t="s">
        <v>16</v>
      </c>
      <c r="E37" s="17"/>
    </row>
    <row r="38" spans="1:5" hidden="1" x14ac:dyDescent="0.25">
      <c r="A38" s="17" t="s">
        <v>18</v>
      </c>
      <c r="B38" s="17">
        <v>9.0079999999999991</v>
      </c>
      <c r="C38" s="17"/>
      <c r="D38" s="17" t="s">
        <v>16</v>
      </c>
      <c r="E38" s="17"/>
    </row>
    <row r="40" spans="1:5" ht="48" customHeight="1" x14ac:dyDescent="0.25">
      <c r="A40" s="18" t="s">
        <v>19</v>
      </c>
      <c r="B40" s="19" t="s">
        <v>20</v>
      </c>
      <c r="C40" s="19" t="s">
        <v>21</v>
      </c>
      <c r="D40" s="19" t="s">
        <v>22</v>
      </c>
      <c r="E40" s="20" t="s">
        <v>23</v>
      </c>
    </row>
    <row r="41" spans="1:5" x14ac:dyDescent="0.25">
      <c r="A41" s="5">
        <v>0</v>
      </c>
      <c r="B41" s="6">
        <v>58.362404980687486</v>
      </c>
      <c r="C41" s="6">
        <f>58.3624049806874 * $B$36 / 100</f>
        <v>58.362404980687394</v>
      </c>
      <c r="D41" s="6">
        <v>7.3535333333333339</v>
      </c>
      <c r="E41" s="7">
        <f>7.35353333333333 * $B$36 / 100</f>
        <v>7.3535333333333304</v>
      </c>
    </row>
    <row r="42" spans="1:5" x14ac:dyDescent="0.25">
      <c r="A42" s="5">
        <v>10</v>
      </c>
      <c r="B42" s="6">
        <v>59.066345967301011</v>
      </c>
      <c r="C42" s="6">
        <f>59.066345967301 * $B$36 / 100</f>
        <v>59.066345967300997</v>
      </c>
      <c r="D42" s="6">
        <v>7.4422283333333326</v>
      </c>
      <c r="E42" s="7">
        <f>7.44222833333333 * $B$36 / 100</f>
        <v>7.4422283333333299</v>
      </c>
    </row>
    <row r="43" spans="1:5" x14ac:dyDescent="0.25">
      <c r="A43" s="5">
        <v>20</v>
      </c>
      <c r="B43" s="6">
        <v>59.770286953914542</v>
      </c>
      <c r="C43" s="6">
        <f>59.7702869539145 * $B$36 / 100</f>
        <v>59.7702869539145</v>
      </c>
      <c r="D43" s="6">
        <v>7.5309233333333339</v>
      </c>
      <c r="E43" s="7">
        <f>7.53092333333333 * $B$36 / 100</f>
        <v>7.5309233333333303</v>
      </c>
    </row>
    <row r="44" spans="1:5" x14ac:dyDescent="0.25">
      <c r="A44" s="5">
        <v>30</v>
      </c>
      <c r="B44" s="6">
        <v>60.474227940528053</v>
      </c>
      <c r="C44" s="6">
        <f>60.474227940528 * $B$36 / 100</f>
        <v>60.474227940527996</v>
      </c>
      <c r="D44" s="6">
        <v>7.6196183333333334</v>
      </c>
      <c r="E44" s="7">
        <f>7.61961833333333 * $B$36 / 100</f>
        <v>7.6196183333333298</v>
      </c>
    </row>
    <row r="45" spans="1:5" x14ac:dyDescent="0.25">
      <c r="A45" s="5">
        <v>40</v>
      </c>
      <c r="B45" s="6">
        <v>61.17816892714157</v>
      </c>
      <c r="C45" s="6">
        <f>61.1781689271415 * $B$36 / 100</f>
        <v>61.178168927141499</v>
      </c>
      <c r="D45" s="6">
        <v>7.7083133333333329</v>
      </c>
      <c r="E45" s="7">
        <f>7.70831333333333 * $B$36 / 100</f>
        <v>7.7083133333333311</v>
      </c>
    </row>
    <row r="46" spans="1:5" x14ac:dyDescent="0.25">
      <c r="A46" s="5">
        <v>50</v>
      </c>
      <c r="B46" s="6">
        <v>61.882109913755087</v>
      </c>
      <c r="C46" s="6">
        <f>61.882109913755 * $B$36 / 100</f>
        <v>61.882109913755002</v>
      </c>
      <c r="D46" s="6">
        <v>7.7970083333333324</v>
      </c>
      <c r="E46" s="7">
        <f>7.79700833333333 * $B$36 / 100</f>
        <v>7.7970083333333298</v>
      </c>
    </row>
    <row r="47" spans="1:5" x14ac:dyDescent="0.25">
      <c r="A47" s="5">
        <v>60</v>
      </c>
      <c r="B47" s="6">
        <v>62.586050900368612</v>
      </c>
      <c r="C47" s="6">
        <f>62.5860509003686 * $B$36 / 100</f>
        <v>62.586050900368598</v>
      </c>
      <c r="D47" s="6">
        <v>7.8857033333333328</v>
      </c>
      <c r="E47" s="7">
        <f>7.88570333333333 * $B$36 / 100</f>
        <v>7.8857033333333302</v>
      </c>
    </row>
    <row r="48" spans="1:5" x14ac:dyDescent="0.25">
      <c r="A48" s="5">
        <v>70</v>
      </c>
      <c r="B48" s="6">
        <v>63.289991886982129</v>
      </c>
      <c r="C48" s="6">
        <f>63.2899918869821 * $B$36 / 100</f>
        <v>63.289991886982101</v>
      </c>
      <c r="D48" s="6">
        <v>7.9743983333333324</v>
      </c>
      <c r="E48" s="7">
        <f>7.97439833333333 * $B$36 / 100</f>
        <v>7.9743983333333297</v>
      </c>
    </row>
    <row r="49" spans="1:18" x14ac:dyDescent="0.25">
      <c r="A49" s="5">
        <v>80</v>
      </c>
      <c r="B49" s="6">
        <v>63.993932873595647</v>
      </c>
      <c r="C49" s="6">
        <f>63.9939328735956 * $B$36 / 100</f>
        <v>63.993932873595597</v>
      </c>
      <c r="D49" s="6">
        <v>8.0630933333333328</v>
      </c>
      <c r="E49" s="7">
        <f>8.06309333333333 * $B$36 / 100</f>
        <v>8.0630933333333292</v>
      </c>
    </row>
    <row r="50" spans="1:18" x14ac:dyDescent="0.25">
      <c r="A50" s="5">
        <v>90</v>
      </c>
      <c r="B50" s="6">
        <v>64.697873860209171</v>
      </c>
      <c r="C50" s="6">
        <f>64.6978738602091 * $B$36 / 100</f>
        <v>64.6978738602091</v>
      </c>
      <c r="D50" s="6">
        <v>8.1517883333333323</v>
      </c>
      <c r="E50" s="7">
        <f>8.15178833333333 * $B$36 / 100</f>
        <v>8.1517883333333305</v>
      </c>
    </row>
    <row r="51" spans="1:18" x14ac:dyDescent="0.25">
      <c r="A51" s="8">
        <v>100</v>
      </c>
      <c r="B51" s="9">
        <v>65.401814846822688</v>
      </c>
      <c r="C51" s="9">
        <f>65.4018148468226 * $B$36 / 100</f>
        <v>65.401814846822603</v>
      </c>
      <c r="D51" s="9">
        <v>8.2404833333333318</v>
      </c>
      <c r="E51" s="10">
        <f>8.24048333333333 * $B$36 / 100</f>
        <v>8.2404833333333301</v>
      </c>
    </row>
    <row r="53" spans="1:18" ht="28.9" customHeight="1" x14ac:dyDescent="0.5">
      <c r="A53" s="1" t="s">
        <v>24</v>
      </c>
      <c r="B53" s="1"/>
    </row>
    <row r="54" spans="1:18" x14ac:dyDescent="0.25">
      <c r="A54" s="21" t="s">
        <v>25</v>
      </c>
      <c r="B54" s="22">
        <v>0</v>
      </c>
      <c r="C54" s="22">
        <v>6.25</v>
      </c>
      <c r="D54" s="22">
        <v>12.5</v>
      </c>
      <c r="E54" s="22">
        <v>18.75</v>
      </c>
      <c r="F54" s="22">
        <v>25</v>
      </c>
      <c r="G54" s="22">
        <v>31.25</v>
      </c>
      <c r="H54" s="22">
        <v>37.5</v>
      </c>
      <c r="I54" s="22">
        <v>43.75</v>
      </c>
      <c r="J54" s="22">
        <v>50</v>
      </c>
      <c r="K54" s="22">
        <v>56.25</v>
      </c>
      <c r="L54" s="22">
        <v>62.5</v>
      </c>
      <c r="M54" s="22">
        <v>68.75</v>
      </c>
      <c r="N54" s="22">
        <v>75</v>
      </c>
      <c r="O54" s="22">
        <v>81.25</v>
      </c>
      <c r="P54" s="22">
        <v>87.5</v>
      </c>
      <c r="Q54" s="22">
        <v>93.75</v>
      </c>
      <c r="R54" s="23">
        <v>100</v>
      </c>
    </row>
    <row r="55" spans="1:18" x14ac:dyDescent="0.25">
      <c r="A55" s="5" t="s">
        <v>26</v>
      </c>
      <c r="B55" s="6">
        <f>0 * $B$38 + (1 - 0) * $B$37</f>
        <v>14.7</v>
      </c>
      <c r="C55" s="6">
        <f>0.0625 * $B$38 + (1 - 0.0625) * $B$37</f>
        <v>14.344250000000001</v>
      </c>
      <c r="D55" s="6">
        <f>0.125 * $B$38 + (1 - 0.125) * $B$37</f>
        <v>13.988499999999998</v>
      </c>
      <c r="E55" s="6">
        <f>0.1875 * $B$38 + (1 - 0.1875) * $B$37</f>
        <v>13.63275</v>
      </c>
      <c r="F55" s="6">
        <f>0.25 * $B$38 + (1 - 0.25) * $B$37</f>
        <v>13.276999999999997</v>
      </c>
      <c r="G55" s="6">
        <f>0.3125 * $B$38 + (1 - 0.3125) * $B$37</f>
        <v>12.921249999999999</v>
      </c>
      <c r="H55" s="6">
        <f>0.375 * $B$38 + (1 - 0.375) * $B$37</f>
        <v>12.5655</v>
      </c>
      <c r="I55" s="6">
        <f>0.4375 * $B$38 + (1 - 0.4375) * $B$37</f>
        <v>12.20975</v>
      </c>
      <c r="J55" s="6">
        <f>0.5 * $B$38 + (1 - 0.5) * $B$37</f>
        <v>11.853999999999999</v>
      </c>
      <c r="K55" s="6">
        <f>0.5625 * $B$38 + (1 - 0.5625) * $B$37</f>
        <v>11.498249999999999</v>
      </c>
      <c r="L55" s="6">
        <f>0.625 * $B$38 + (1 - 0.625) * $B$37</f>
        <v>11.142499999999998</v>
      </c>
      <c r="M55" s="6">
        <f>0.6875 * $B$38 + (1 - 0.6875) * $B$37</f>
        <v>10.78675</v>
      </c>
      <c r="N55" s="6">
        <f>0.75 * $B$38 + (1 - 0.75) * $B$37</f>
        <v>10.430999999999999</v>
      </c>
      <c r="O55" s="6">
        <f>0.8125 * $B$38 + (1 - 0.8125) * $B$37</f>
        <v>10.075249999999999</v>
      </c>
      <c r="P55" s="6">
        <f>0.875 * $B$38 + (1 - 0.875) * $B$37</f>
        <v>9.7195</v>
      </c>
      <c r="Q55" s="6">
        <f>0.9375 * $B$38 + (1 - 0.9375) * $B$37</f>
        <v>9.3637499999999978</v>
      </c>
      <c r="R55" s="7">
        <f>1 * $B$38 + (1 - 1) * $B$37</f>
        <v>9.0079999999999991</v>
      </c>
    </row>
    <row r="56" spans="1:18" x14ac:dyDescent="0.25">
      <c r="A56" s="8" t="s">
        <v>27</v>
      </c>
      <c r="B56" s="9">
        <f>(0 * $B$38 + (1 - 0) * $B$37) * $B$36 / 100</f>
        <v>14.7</v>
      </c>
      <c r="C56" s="9">
        <f>(0.0625 * $B$38 + (1 - 0.0625) * $B$37) * $B$36 / 100</f>
        <v>14.344249999999999</v>
      </c>
      <c r="D56" s="9">
        <f>(0.125 * $B$38 + (1 - 0.125) * $B$37) * $B$36 / 100</f>
        <v>13.988499999999998</v>
      </c>
      <c r="E56" s="9">
        <f>(0.1875 * $B$38 + (1 - 0.1875) * $B$37) * $B$36 / 100</f>
        <v>13.632749999999998</v>
      </c>
      <c r="F56" s="9">
        <f>(0.25 * $B$38 + (1 - 0.25) * $B$37) * $B$36 / 100</f>
        <v>13.276999999999997</v>
      </c>
      <c r="G56" s="9">
        <f>(0.3125 * $B$38 + (1 - 0.3125) * $B$37) * $B$36 / 100</f>
        <v>12.921249999999997</v>
      </c>
      <c r="H56" s="9">
        <f>(0.375 * $B$38 + (1 - 0.375) * $B$37) * $B$36 / 100</f>
        <v>12.5655</v>
      </c>
      <c r="I56" s="9">
        <f>(0.4375 * $B$38 + (1 - 0.4375) * $B$37) * $B$36 / 100</f>
        <v>12.20975</v>
      </c>
      <c r="J56" s="9">
        <f>(0.5 * $B$38 + (1 - 0.5) * $B$37) * $B$36 / 100</f>
        <v>11.853999999999999</v>
      </c>
      <c r="K56" s="9">
        <f>(0.5625 * $B$38 + (1 - 0.5625) * $B$37) * $B$36 / 100</f>
        <v>11.498249999999999</v>
      </c>
      <c r="L56" s="9">
        <f>(0.625 * $B$38 + (1 - 0.625) * $B$37) * $B$36 / 100</f>
        <v>11.142499999999998</v>
      </c>
      <c r="M56" s="9">
        <f>(0.6875 * $B$38 + (1 - 0.6875) * $B$37) * $B$36 / 100</f>
        <v>10.78675</v>
      </c>
      <c r="N56" s="9">
        <f>(0.75 * $B$38 + (1 - 0.75) * $B$37) * $B$36 / 100</f>
        <v>10.430999999999999</v>
      </c>
      <c r="O56" s="9">
        <f>(0.8125 * $B$38 + (1 - 0.8125) * $B$37) * $B$36 / 100</f>
        <v>10.075249999999999</v>
      </c>
      <c r="P56" s="9">
        <f>(0.875 * $B$38 + (1 - 0.875) * $B$37) * $B$36 / 100</f>
        <v>9.7195</v>
      </c>
      <c r="Q56" s="9">
        <f>(0.9375 * $B$38 + (1 - 0.9375) * $B$37) * $B$36 / 100</f>
        <v>9.3637499999999978</v>
      </c>
      <c r="R56" s="10">
        <f>(1 * $B$38 + (1 - 1) * $B$37) * $B$36 / 100</f>
        <v>9.0079999999999991</v>
      </c>
    </row>
  </sheetData>
  <sheetProtection algorithmName="SHA-512" hashValue="xVGKjTEd49P82VyKbwIvemkmT4+ZkWgoRit5rDYH1osQ9xLWtlYacC3PISXxwXyH4Lwxe1YeXfM323QN4F+MAQ==" saltValue="4xPtfLpvMISQR4UjUelJOg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5:R61"/>
  <sheetViews>
    <sheetView tabSelected="1" workbookViewId="0">
      <selection activeCell="A12" sqref="A1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37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300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11</v>
      </c>
      <c r="B30" s="6">
        <v>0.46</v>
      </c>
      <c r="C30" s="6" t="s">
        <v>12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13</v>
      </c>
    </row>
    <row r="36" spans="1:5" x14ac:dyDescent="0.25">
      <c r="A36" s="17" t="s">
        <v>14</v>
      </c>
      <c r="B36" s="17">
        <v>100</v>
      </c>
      <c r="C36" s="17" t="s">
        <v>15</v>
      </c>
      <c r="D36" s="17" t="s">
        <v>16</v>
      </c>
      <c r="E36" s="17"/>
    </row>
    <row r="37" spans="1:5" hidden="1" x14ac:dyDescent="0.25">
      <c r="A37" s="17" t="s">
        <v>17</v>
      </c>
      <c r="B37" s="17">
        <v>14.7</v>
      </c>
      <c r="C37" s="17"/>
      <c r="D37" s="17" t="s">
        <v>16</v>
      </c>
      <c r="E37" s="17"/>
    </row>
    <row r="38" spans="1:5" hidden="1" x14ac:dyDescent="0.25">
      <c r="A38" s="17" t="s">
        <v>18</v>
      </c>
      <c r="B38" s="17">
        <v>9.0079999999999991</v>
      </c>
      <c r="C38" s="17"/>
      <c r="D38" s="17" t="s">
        <v>16</v>
      </c>
      <c r="E38" s="17"/>
    </row>
    <row r="40" spans="1:5" ht="48" customHeight="1" x14ac:dyDescent="0.25">
      <c r="A40" s="18" t="s">
        <v>19</v>
      </c>
      <c r="B40" s="19" t="s">
        <v>20</v>
      </c>
      <c r="C40" s="19" t="s">
        <v>21</v>
      </c>
      <c r="D40" s="19" t="s">
        <v>22</v>
      </c>
      <c r="E40" s="20" t="s">
        <v>23</v>
      </c>
    </row>
    <row r="41" spans="1:5" x14ac:dyDescent="0.25">
      <c r="A41" s="5">
        <v>-50</v>
      </c>
      <c r="B41" s="6">
        <v>54.263324749995597</v>
      </c>
      <c r="C41" s="6">
        <f>54.2633247499956 * $B$36 / 100</f>
        <v>54.263324749995597</v>
      </c>
      <c r="D41" s="6">
        <v>6.8370583333333341</v>
      </c>
      <c r="E41" s="7">
        <f>6.83705833333333 * $B$36 / 100</f>
        <v>6.8370583333333297</v>
      </c>
    </row>
    <row r="42" spans="1:5" x14ac:dyDescent="0.25">
      <c r="A42" s="5">
        <v>-40</v>
      </c>
      <c r="B42" s="6">
        <v>55.083140796133968</v>
      </c>
      <c r="C42" s="6">
        <f>55.0831407961339 * $B$36 / 100</f>
        <v>55.083140796133897</v>
      </c>
      <c r="D42" s="6">
        <v>6.9403533333333334</v>
      </c>
      <c r="E42" s="7">
        <f>6.94035333333333 * $B$36 / 100</f>
        <v>6.9403533333333307</v>
      </c>
    </row>
    <row r="43" spans="1:5" x14ac:dyDescent="0.25">
      <c r="A43" s="5">
        <v>-30</v>
      </c>
      <c r="B43" s="6">
        <v>55.902956842272353</v>
      </c>
      <c r="C43" s="6">
        <f>55.9029568422723 * $B$36 / 100</f>
        <v>55.902956842272303</v>
      </c>
      <c r="D43" s="6">
        <v>7.0436483333333344</v>
      </c>
      <c r="E43" s="7">
        <f>7.04364833333333 * $B$36 / 100</f>
        <v>7.04364833333333</v>
      </c>
    </row>
    <row r="44" spans="1:5" x14ac:dyDescent="0.25">
      <c r="A44" s="5">
        <v>-20</v>
      </c>
      <c r="B44" s="6">
        <v>56.722772888410731</v>
      </c>
      <c r="C44" s="6">
        <f>56.7227728884107 * $B$36 / 100</f>
        <v>56.722772888410702</v>
      </c>
      <c r="D44" s="6">
        <v>7.1469433333333328</v>
      </c>
      <c r="E44" s="7">
        <f>7.14694333333333 * $B$36 / 100</f>
        <v>7.1469433333333301</v>
      </c>
    </row>
    <row r="45" spans="1:5" x14ac:dyDescent="0.25">
      <c r="A45" s="5">
        <v>-10</v>
      </c>
      <c r="B45" s="6">
        <v>57.542588934549123</v>
      </c>
      <c r="C45" s="6">
        <f>57.5425889345491 * $B$36 / 100</f>
        <v>57.542588934549102</v>
      </c>
      <c r="D45" s="6">
        <v>7.2502383333333338</v>
      </c>
      <c r="E45" s="7">
        <f>7.25023833333333 * $B$36 / 100</f>
        <v>7.2502383333333311</v>
      </c>
    </row>
    <row r="46" spans="1:5" x14ac:dyDescent="0.25">
      <c r="A46" s="5">
        <v>0</v>
      </c>
      <c r="B46" s="6">
        <v>58.362404980687486</v>
      </c>
      <c r="C46" s="6">
        <f>58.3624049806874 * $B$36 / 100</f>
        <v>58.362404980687394</v>
      </c>
      <c r="D46" s="6">
        <v>7.3535333333333339</v>
      </c>
      <c r="E46" s="7">
        <f>7.35353333333333 * $B$36 / 100</f>
        <v>7.3535333333333304</v>
      </c>
    </row>
    <row r="47" spans="1:5" x14ac:dyDescent="0.25">
      <c r="A47" s="5">
        <v>10</v>
      </c>
      <c r="B47" s="6">
        <v>59.066345967301011</v>
      </c>
      <c r="C47" s="6">
        <f>59.066345967301 * $B$36 / 100</f>
        <v>59.066345967300997</v>
      </c>
      <c r="D47" s="6">
        <v>7.4422283333333326</v>
      </c>
      <c r="E47" s="7">
        <f>7.44222833333333 * $B$36 / 100</f>
        <v>7.4422283333333299</v>
      </c>
    </row>
    <row r="48" spans="1:5" x14ac:dyDescent="0.25">
      <c r="A48" s="5">
        <v>20</v>
      </c>
      <c r="B48" s="6">
        <v>59.770286953914542</v>
      </c>
      <c r="C48" s="6">
        <f>59.7702869539145 * $B$36 / 100</f>
        <v>59.7702869539145</v>
      </c>
      <c r="D48" s="6">
        <v>7.5309233333333339</v>
      </c>
      <c r="E48" s="7">
        <f>7.53092333333333 * $B$36 / 100</f>
        <v>7.5309233333333303</v>
      </c>
    </row>
    <row r="49" spans="1:18" x14ac:dyDescent="0.25">
      <c r="A49" s="5">
        <v>30</v>
      </c>
      <c r="B49" s="6">
        <v>60.474227940528053</v>
      </c>
      <c r="C49" s="6">
        <f>60.474227940528 * $B$36 / 100</f>
        <v>60.474227940527996</v>
      </c>
      <c r="D49" s="6">
        <v>7.6196183333333334</v>
      </c>
      <c r="E49" s="7">
        <f>7.61961833333333 * $B$36 / 100</f>
        <v>7.6196183333333298</v>
      </c>
    </row>
    <row r="50" spans="1:18" x14ac:dyDescent="0.25">
      <c r="A50" s="5">
        <v>40</v>
      </c>
      <c r="B50" s="6">
        <v>61.17816892714157</v>
      </c>
      <c r="C50" s="6">
        <f>61.1781689271415 * $B$36 / 100</f>
        <v>61.178168927141499</v>
      </c>
      <c r="D50" s="6">
        <v>7.7083133333333329</v>
      </c>
      <c r="E50" s="7">
        <f>7.70831333333333 * $B$36 / 100</f>
        <v>7.7083133333333311</v>
      </c>
    </row>
    <row r="51" spans="1:18" x14ac:dyDescent="0.25">
      <c r="A51" s="5">
        <v>50</v>
      </c>
      <c r="B51" s="6">
        <v>61.882109913755087</v>
      </c>
      <c r="C51" s="6">
        <f>61.882109913755 * $B$36 / 100</f>
        <v>61.882109913755002</v>
      </c>
      <c r="D51" s="6">
        <v>7.7970083333333324</v>
      </c>
      <c r="E51" s="7">
        <f>7.79700833333333 * $B$36 / 100</f>
        <v>7.7970083333333298</v>
      </c>
    </row>
    <row r="52" spans="1:18" x14ac:dyDescent="0.25">
      <c r="A52" s="5">
        <v>60</v>
      </c>
      <c r="B52" s="6">
        <v>62.586050900368612</v>
      </c>
      <c r="C52" s="6">
        <f>62.5860509003686 * $B$36 / 100</f>
        <v>62.586050900368598</v>
      </c>
      <c r="D52" s="6">
        <v>7.8857033333333328</v>
      </c>
      <c r="E52" s="7">
        <f>7.88570333333333 * $B$36 / 100</f>
        <v>7.8857033333333302</v>
      </c>
    </row>
    <row r="53" spans="1:18" x14ac:dyDescent="0.25">
      <c r="A53" s="5">
        <v>70</v>
      </c>
      <c r="B53" s="6">
        <v>63.289991886982129</v>
      </c>
      <c r="C53" s="6">
        <f>63.2899918869821 * $B$36 / 100</f>
        <v>63.289991886982101</v>
      </c>
      <c r="D53" s="6">
        <v>7.9743983333333324</v>
      </c>
      <c r="E53" s="7">
        <f>7.97439833333333 * $B$36 / 100</f>
        <v>7.9743983333333297</v>
      </c>
    </row>
    <row r="54" spans="1:18" x14ac:dyDescent="0.25">
      <c r="A54" s="5">
        <v>80</v>
      </c>
      <c r="B54" s="6">
        <v>63.993932873595647</v>
      </c>
      <c r="C54" s="6">
        <f>63.9939328735956 * $B$36 / 100</f>
        <v>63.993932873595597</v>
      </c>
      <c r="D54" s="6">
        <v>8.0630933333333328</v>
      </c>
      <c r="E54" s="7">
        <f>8.06309333333333 * $B$36 / 100</f>
        <v>8.0630933333333292</v>
      </c>
    </row>
    <row r="55" spans="1:18" x14ac:dyDescent="0.25">
      <c r="A55" s="5">
        <v>90</v>
      </c>
      <c r="B55" s="6">
        <v>64.697873860209171</v>
      </c>
      <c r="C55" s="6">
        <f>64.6978738602091 * $B$36 / 100</f>
        <v>64.6978738602091</v>
      </c>
      <c r="D55" s="6">
        <v>8.1517883333333323</v>
      </c>
      <c r="E55" s="7">
        <f>8.15178833333333 * $B$36 / 100</f>
        <v>8.1517883333333305</v>
      </c>
    </row>
    <row r="56" spans="1:18" x14ac:dyDescent="0.25">
      <c r="A56" s="8">
        <v>100</v>
      </c>
      <c r="B56" s="9">
        <v>65.401814846822688</v>
      </c>
      <c r="C56" s="9">
        <f>65.4018148468226 * $B$36 / 100</f>
        <v>65.401814846822603</v>
      </c>
      <c r="D56" s="9">
        <v>8.2404833333333318</v>
      </c>
      <c r="E56" s="10">
        <f>8.24048333333333 * $B$36 / 100</f>
        <v>8.2404833333333301</v>
      </c>
    </row>
    <row r="58" spans="1:18" ht="28.9" customHeight="1" x14ac:dyDescent="0.5">
      <c r="A58" s="1" t="s">
        <v>24</v>
      </c>
      <c r="B58" s="1"/>
    </row>
    <row r="59" spans="1:18" x14ac:dyDescent="0.25">
      <c r="A59" s="21" t="s">
        <v>25</v>
      </c>
      <c r="B59" s="22">
        <v>0</v>
      </c>
      <c r="C59" s="22">
        <v>6.25</v>
      </c>
      <c r="D59" s="22">
        <v>12.5</v>
      </c>
      <c r="E59" s="22">
        <v>18.75</v>
      </c>
      <c r="F59" s="22">
        <v>25</v>
      </c>
      <c r="G59" s="22">
        <v>31.25</v>
      </c>
      <c r="H59" s="22">
        <v>37.5</v>
      </c>
      <c r="I59" s="22">
        <v>43.75</v>
      </c>
      <c r="J59" s="22">
        <v>50</v>
      </c>
      <c r="K59" s="22">
        <v>56.25</v>
      </c>
      <c r="L59" s="22">
        <v>62.5</v>
      </c>
      <c r="M59" s="22">
        <v>68.75</v>
      </c>
      <c r="N59" s="22">
        <v>75</v>
      </c>
      <c r="O59" s="22">
        <v>81.25</v>
      </c>
      <c r="P59" s="22">
        <v>87.5</v>
      </c>
      <c r="Q59" s="22">
        <v>93.75</v>
      </c>
      <c r="R59" s="23">
        <v>100</v>
      </c>
    </row>
    <row r="60" spans="1:18" x14ac:dyDescent="0.25">
      <c r="A60" s="5" t="s">
        <v>26</v>
      </c>
      <c r="B60" s="6">
        <f>0 * $B$38 + (1 - 0) * $B$37</f>
        <v>14.7</v>
      </c>
      <c r="C60" s="6">
        <f>0.0625 * $B$38 + (1 - 0.0625) * $B$37</f>
        <v>14.344250000000001</v>
      </c>
      <c r="D60" s="6">
        <f>0.125 * $B$38 + (1 - 0.125) * $B$37</f>
        <v>13.988499999999998</v>
      </c>
      <c r="E60" s="6">
        <f>0.1875 * $B$38 + (1 - 0.1875) * $B$37</f>
        <v>13.63275</v>
      </c>
      <c r="F60" s="6">
        <f>0.25 * $B$38 + (1 - 0.25) * $B$37</f>
        <v>13.276999999999997</v>
      </c>
      <c r="G60" s="6">
        <f>0.3125 * $B$38 + (1 - 0.3125) * $B$37</f>
        <v>12.921249999999999</v>
      </c>
      <c r="H60" s="6">
        <f>0.375 * $B$38 + (1 - 0.375) * $B$37</f>
        <v>12.5655</v>
      </c>
      <c r="I60" s="6">
        <f>0.4375 * $B$38 + (1 - 0.4375) * $B$37</f>
        <v>12.20975</v>
      </c>
      <c r="J60" s="6">
        <f>0.5 * $B$38 + (1 - 0.5) * $B$37</f>
        <v>11.853999999999999</v>
      </c>
      <c r="K60" s="6">
        <f>0.5625 * $B$38 + (1 - 0.5625) * $B$37</f>
        <v>11.498249999999999</v>
      </c>
      <c r="L60" s="6">
        <f>0.625 * $B$38 + (1 - 0.625) * $B$37</f>
        <v>11.142499999999998</v>
      </c>
      <c r="M60" s="6">
        <f>0.6875 * $B$38 + (1 - 0.6875) * $B$37</f>
        <v>10.78675</v>
      </c>
      <c r="N60" s="6">
        <f>0.75 * $B$38 + (1 - 0.75) * $B$37</f>
        <v>10.430999999999999</v>
      </c>
      <c r="O60" s="6">
        <f>0.8125 * $B$38 + (1 - 0.8125) * $B$37</f>
        <v>10.075249999999999</v>
      </c>
      <c r="P60" s="6">
        <f>0.875 * $B$38 + (1 - 0.875) * $B$37</f>
        <v>9.7195</v>
      </c>
      <c r="Q60" s="6">
        <f>0.9375 * $B$38 + (1 - 0.9375) * $B$37</f>
        <v>9.3637499999999978</v>
      </c>
      <c r="R60" s="7">
        <f>1 * $B$38 + (1 - 1) * $B$37</f>
        <v>9.0079999999999991</v>
      </c>
    </row>
    <row r="61" spans="1:18" x14ac:dyDescent="0.25">
      <c r="A61" s="8" t="s">
        <v>27</v>
      </c>
      <c r="B61" s="9">
        <f>(0 * $B$38 + (1 - 0) * $B$37) * $B$36 / 100</f>
        <v>14.7</v>
      </c>
      <c r="C61" s="9">
        <f>(0.0625 * $B$38 + (1 - 0.0625) * $B$37) * $B$36 / 100</f>
        <v>14.344249999999999</v>
      </c>
      <c r="D61" s="9">
        <f>(0.125 * $B$38 + (1 - 0.125) * $B$37) * $B$36 / 100</f>
        <v>13.988499999999998</v>
      </c>
      <c r="E61" s="9">
        <f>(0.1875 * $B$38 + (1 - 0.1875) * $B$37) * $B$36 / 100</f>
        <v>13.632749999999998</v>
      </c>
      <c r="F61" s="9">
        <f>(0.25 * $B$38 + (1 - 0.25) * $B$37) * $B$36 / 100</f>
        <v>13.276999999999997</v>
      </c>
      <c r="G61" s="9">
        <f>(0.3125 * $B$38 + (1 - 0.3125) * $B$37) * $B$36 / 100</f>
        <v>12.921249999999997</v>
      </c>
      <c r="H61" s="9">
        <f>(0.375 * $B$38 + (1 - 0.375) * $B$37) * $B$36 / 100</f>
        <v>12.5655</v>
      </c>
      <c r="I61" s="9">
        <f>(0.4375 * $B$38 + (1 - 0.4375) * $B$37) * $B$36 / 100</f>
        <v>12.20975</v>
      </c>
      <c r="J61" s="9">
        <f>(0.5 * $B$38 + (1 - 0.5) * $B$37) * $B$36 / 100</f>
        <v>11.853999999999999</v>
      </c>
      <c r="K61" s="9">
        <f>(0.5625 * $B$38 + (1 - 0.5625) * $B$37) * $B$36 / 100</f>
        <v>11.498249999999999</v>
      </c>
      <c r="L61" s="9">
        <f>(0.625 * $B$38 + (1 - 0.625) * $B$37) * $B$36 / 100</f>
        <v>11.142499999999998</v>
      </c>
      <c r="M61" s="9">
        <f>(0.6875 * $B$38 + (1 - 0.6875) * $B$37) * $B$36 / 100</f>
        <v>10.78675</v>
      </c>
      <c r="N61" s="9">
        <f>(0.75 * $B$38 + (1 - 0.75) * $B$37) * $B$36 / 100</f>
        <v>10.430999999999999</v>
      </c>
      <c r="O61" s="9">
        <f>(0.8125 * $B$38 + (1 - 0.8125) * $B$37) * $B$36 / 100</f>
        <v>10.075249999999999</v>
      </c>
      <c r="P61" s="9">
        <f>(0.875 * $B$38 + (1 - 0.875) * $B$37) * $B$36 / 100</f>
        <v>9.7195</v>
      </c>
      <c r="Q61" s="9">
        <f>(0.9375 * $B$38 + (1 - 0.9375) * $B$37) * $B$36 / 100</f>
        <v>9.3637499999999978</v>
      </c>
      <c r="R61" s="10">
        <f>(1 * $B$38 + (1 - 1) * $B$37) * $B$36 / 100</f>
        <v>9.0079999999999991</v>
      </c>
    </row>
  </sheetData>
  <sheetProtection algorithmName="SHA-512" hashValue="sPtQMkup2DcCezKJx2fp/d2V6gl1iitVVufkw8+TBdFuNlIURZM/5m4ZcdNWYVeS+2cNQ39/8hOWapy7JGGCWQ==" saltValue="FtFXBzgwLbwUWdK8BMagGg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/>
  <dimension ref="A15:AH158"/>
  <sheetViews>
    <sheetView workbookViewId="0">
      <selection activeCell="A2" sqref="A2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38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300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11</v>
      </c>
      <c r="B30" s="6">
        <v>0.46</v>
      </c>
      <c r="C30" s="6" t="s">
        <v>12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13</v>
      </c>
    </row>
    <row r="36" spans="1:5" x14ac:dyDescent="0.25">
      <c r="A36" s="17" t="s">
        <v>14</v>
      </c>
      <c r="B36" s="17">
        <v>100</v>
      </c>
      <c r="C36" s="17" t="s">
        <v>15</v>
      </c>
      <c r="D36" s="17" t="s">
        <v>16</v>
      </c>
      <c r="E36" s="17"/>
    </row>
    <row r="37" spans="1:5" hidden="1" x14ac:dyDescent="0.25">
      <c r="A37" s="17" t="s">
        <v>17</v>
      </c>
      <c r="B37" s="17">
        <v>14.7</v>
      </c>
      <c r="C37" s="17"/>
      <c r="D37" s="17" t="s">
        <v>16</v>
      </c>
      <c r="E37" s="17"/>
    </row>
    <row r="38" spans="1:5" hidden="1" x14ac:dyDescent="0.25">
      <c r="A38" s="17" t="s">
        <v>18</v>
      </c>
      <c r="B38" s="17">
        <v>9.0079999999999991</v>
      </c>
      <c r="C38" s="17"/>
      <c r="D38" s="17" t="s">
        <v>16</v>
      </c>
      <c r="E38" s="17"/>
    </row>
    <row r="40" spans="1:5" ht="48" customHeight="1" x14ac:dyDescent="0.25">
      <c r="A40" s="18" t="s">
        <v>19</v>
      </c>
      <c r="B40" s="19" t="s">
        <v>20</v>
      </c>
      <c r="C40" s="19" t="s">
        <v>21</v>
      </c>
      <c r="D40" s="19" t="s">
        <v>22</v>
      </c>
      <c r="E40" s="20" t="s">
        <v>23</v>
      </c>
    </row>
    <row r="41" spans="1:5" x14ac:dyDescent="0.25">
      <c r="A41" s="5">
        <v>-120</v>
      </c>
      <c r="B41" s="6">
        <v>48.248443535159353</v>
      </c>
      <c r="C41" s="6">
        <f>48.2484435351593 * $B$36 / 100</f>
        <v>48.248443535159304</v>
      </c>
      <c r="D41" s="6">
        <v>6.0791966666666664</v>
      </c>
      <c r="E41" s="7">
        <f>6.07919666666666 * $B$36 / 100</f>
        <v>6.0791966666666601</v>
      </c>
    </row>
    <row r="42" spans="1:5" x14ac:dyDescent="0.25">
      <c r="A42" s="5">
        <v>-114</v>
      </c>
      <c r="B42" s="6">
        <v>48.823183830402662</v>
      </c>
      <c r="C42" s="6">
        <f>48.8231838304026 * $B$36 / 100</f>
        <v>48.823183830402598</v>
      </c>
      <c r="D42" s="6">
        <v>6.1516126666666677</v>
      </c>
      <c r="E42" s="7">
        <f>6.15161266666666 * $B$36 / 100</f>
        <v>6.1516126666666597</v>
      </c>
    </row>
    <row r="43" spans="1:5" x14ac:dyDescent="0.25">
      <c r="A43" s="5">
        <v>-108</v>
      </c>
      <c r="B43" s="6">
        <v>49.397924125645957</v>
      </c>
      <c r="C43" s="6">
        <f>49.3979241256459 * $B$36 / 100</f>
        <v>49.397924125645908</v>
      </c>
      <c r="D43" s="6">
        <v>6.2240286666666673</v>
      </c>
      <c r="E43" s="7">
        <f>6.22402866666666 * $B$36 / 100</f>
        <v>6.2240286666666602</v>
      </c>
    </row>
    <row r="44" spans="1:5" x14ac:dyDescent="0.25">
      <c r="A44" s="5">
        <v>-101</v>
      </c>
      <c r="B44" s="6">
        <v>50.068454470096484</v>
      </c>
      <c r="C44" s="6">
        <f>50.0684544700964 * $B$36 / 100</f>
        <v>50.068454470096391</v>
      </c>
      <c r="D44" s="6">
        <v>6.3085140000000006</v>
      </c>
      <c r="E44" s="7">
        <f>6.308514 * $B$36 / 100</f>
        <v>6.3085139999999997</v>
      </c>
    </row>
    <row r="45" spans="1:5" x14ac:dyDescent="0.25">
      <c r="A45" s="5">
        <v>-95</v>
      </c>
      <c r="B45" s="6">
        <v>50.574152542372893</v>
      </c>
      <c r="C45" s="6">
        <f>50.5741525423728 * $B$36 / 100</f>
        <v>50.574152542372801</v>
      </c>
      <c r="D45" s="6">
        <v>6.3722308333333348</v>
      </c>
      <c r="E45" s="7">
        <f>6.37223083333333 * $B$36 / 100</f>
        <v>6.3722308333333304</v>
      </c>
    </row>
    <row r="46" spans="1:5" x14ac:dyDescent="0.25">
      <c r="A46" s="5">
        <v>-89</v>
      </c>
      <c r="B46" s="6">
        <v>51.066042170055923</v>
      </c>
      <c r="C46" s="6">
        <f>51.0660421700559 * $B$36 / 100</f>
        <v>51.066042170055901</v>
      </c>
      <c r="D46" s="6">
        <v>6.4342078333333346</v>
      </c>
      <c r="E46" s="7">
        <f>6.43420783333333 * $B$36 / 100</f>
        <v>6.4342078333333301</v>
      </c>
    </row>
    <row r="47" spans="1:5" x14ac:dyDescent="0.25">
      <c r="A47" s="5">
        <v>-83</v>
      </c>
      <c r="B47" s="6">
        <v>51.557931797738952</v>
      </c>
      <c r="C47" s="6">
        <f>51.5579317977389 * $B$36 / 100</f>
        <v>51.557931797738902</v>
      </c>
      <c r="D47" s="6">
        <v>6.4961848333333343</v>
      </c>
      <c r="E47" s="7">
        <f>6.49618483333333 * $B$36 / 100</f>
        <v>6.4961848333333299</v>
      </c>
    </row>
    <row r="48" spans="1:5" x14ac:dyDescent="0.25">
      <c r="A48" s="5">
        <v>-76</v>
      </c>
      <c r="B48" s="6">
        <v>52.131803030035812</v>
      </c>
      <c r="C48" s="6">
        <f>52.1318030300358 * $B$36 / 100</f>
        <v>52.131803030035798</v>
      </c>
      <c r="D48" s="6">
        <v>6.568491333333335</v>
      </c>
      <c r="E48" s="7">
        <f>6.56849133333333 * $B$36 / 100</f>
        <v>6.5684913333333297</v>
      </c>
    </row>
    <row r="49" spans="1:5" x14ac:dyDescent="0.25">
      <c r="A49" s="5">
        <v>-70</v>
      </c>
      <c r="B49" s="6">
        <v>52.623692657718841</v>
      </c>
      <c r="C49" s="6">
        <f>52.6236926577188 * $B$36 / 100</f>
        <v>52.623692657718806</v>
      </c>
      <c r="D49" s="6">
        <v>6.6304683333333347</v>
      </c>
      <c r="E49" s="7">
        <f>6.63046833333333 * $B$36 / 100</f>
        <v>6.6304683333333294</v>
      </c>
    </row>
    <row r="50" spans="1:5" x14ac:dyDescent="0.25">
      <c r="A50" s="5">
        <v>-64</v>
      </c>
      <c r="B50" s="6">
        <v>53.115582285401857</v>
      </c>
      <c r="C50" s="6">
        <f>53.1155822854018 * $B$36 / 100</f>
        <v>53.1155822854018</v>
      </c>
      <c r="D50" s="6">
        <v>6.6924453333333336</v>
      </c>
      <c r="E50" s="7">
        <f>6.69244533333333 * $B$36 / 100</f>
        <v>6.69244533333333</v>
      </c>
    </row>
    <row r="51" spans="1:5" x14ac:dyDescent="0.25">
      <c r="A51" s="5">
        <v>-58</v>
      </c>
      <c r="B51" s="6">
        <v>53.607471913084893</v>
      </c>
      <c r="C51" s="6">
        <f>53.6074719130848 * $B$36 / 100</f>
        <v>53.607471913084801</v>
      </c>
      <c r="D51" s="6">
        <v>6.7544223333333342</v>
      </c>
      <c r="E51" s="7">
        <f>6.75442233333333 * $B$36 / 100</f>
        <v>6.7544223333333298</v>
      </c>
    </row>
    <row r="52" spans="1:5" x14ac:dyDescent="0.25">
      <c r="A52" s="5">
        <v>-51</v>
      </c>
      <c r="B52" s="6">
        <v>54.18134314538176</v>
      </c>
      <c r="C52" s="6">
        <f>54.1813431453817 * $B$36 / 100</f>
        <v>54.181343145381703</v>
      </c>
      <c r="D52" s="6">
        <v>6.826728833333334</v>
      </c>
      <c r="E52" s="7">
        <f>6.82672883333333 * $B$36 / 100</f>
        <v>6.8267288333333296</v>
      </c>
    </row>
    <row r="53" spans="1:5" x14ac:dyDescent="0.25">
      <c r="A53" s="5">
        <v>-45</v>
      </c>
      <c r="B53" s="6">
        <v>54.673232773064782</v>
      </c>
      <c r="C53" s="6">
        <f>54.6732327730647 * $B$36 / 100</f>
        <v>54.673232773064704</v>
      </c>
      <c r="D53" s="6">
        <v>6.8887058333333338</v>
      </c>
      <c r="E53" s="7">
        <f>6.88870583333333 * $B$36 / 100</f>
        <v>6.8887058333333302</v>
      </c>
    </row>
    <row r="54" spans="1:5" x14ac:dyDescent="0.25">
      <c r="A54" s="5">
        <v>-39</v>
      </c>
      <c r="B54" s="6">
        <v>55.165122400747812</v>
      </c>
      <c r="C54" s="6">
        <f>55.1651224007478 * $B$36 / 100</f>
        <v>55.165122400747798</v>
      </c>
      <c r="D54" s="6">
        <v>6.9506828333333326</v>
      </c>
      <c r="E54" s="7">
        <f>6.95068283333333 * $B$36 / 100</f>
        <v>6.950682833333329</v>
      </c>
    </row>
    <row r="55" spans="1:5" x14ac:dyDescent="0.25">
      <c r="A55" s="5">
        <v>-33</v>
      </c>
      <c r="B55" s="6">
        <v>55.657012028430842</v>
      </c>
      <c r="C55" s="6">
        <f>55.6570120284308 * $B$36 / 100</f>
        <v>55.657012028430799</v>
      </c>
      <c r="D55" s="6">
        <v>7.0126598333333341</v>
      </c>
      <c r="E55" s="7">
        <f>7.01265983333333 * $B$36 / 100</f>
        <v>7.0126598333333297</v>
      </c>
    </row>
    <row r="56" spans="1:5" x14ac:dyDescent="0.25">
      <c r="A56" s="5">
        <v>-26</v>
      </c>
      <c r="B56" s="6">
        <v>56.230883260727708</v>
      </c>
      <c r="C56" s="6">
        <f>56.2308832607277 * $B$36 / 100</f>
        <v>56.230883260727708</v>
      </c>
      <c r="D56" s="6">
        <v>7.0849663333333339</v>
      </c>
      <c r="E56" s="7">
        <f>7.08496633333333 * $B$36 / 100</f>
        <v>7.0849663333333304</v>
      </c>
    </row>
    <row r="57" spans="1:5" x14ac:dyDescent="0.25">
      <c r="A57" s="5">
        <v>-20</v>
      </c>
      <c r="B57" s="6">
        <v>56.722772888410731</v>
      </c>
      <c r="C57" s="6">
        <f>56.7227728884107 * $B$36 / 100</f>
        <v>56.722772888410702</v>
      </c>
      <c r="D57" s="6">
        <v>7.1469433333333328</v>
      </c>
      <c r="E57" s="7">
        <f>7.14694333333333 * $B$36 / 100</f>
        <v>7.1469433333333301</v>
      </c>
    </row>
    <row r="58" spans="1:5" x14ac:dyDescent="0.25">
      <c r="A58" s="5">
        <v>-14</v>
      </c>
      <c r="B58" s="6">
        <v>57.21466251609376</v>
      </c>
      <c r="C58" s="6">
        <f>57.2146625160937 * $B$36 / 100</f>
        <v>57.214662516093703</v>
      </c>
      <c r="D58" s="6">
        <v>7.2089203333333334</v>
      </c>
      <c r="E58" s="7">
        <f>7.20892033333333 * $B$36 / 100</f>
        <v>7.2089203333333298</v>
      </c>
    </row>
    <row r="59" spans="1:5" x14ac:dyDescent="0.25">
      <c r="A59" s="5">
        <v>-8</v>
      </c>
      <c r="B59" s="6">
        <v>57.70655214377679</v>
      </c>
      <c r="C59" s="6">
        <f>57.7065521437767 * $B$36 / 100</f>
        <v>57.706552143776698</v>
      </c>
      <c r="D59" s="6">
        <v>7.2708973333333331</v>
      </c>
      <c r="E59" s="7">
        <f>7.27089733333333 * $B$36 / 100</f>
        <v>7.2708973333333304</v>
      </c>
    </row>
    <row r="60" spans="1:5" x14ac:dyDescent="0.25">
      <c r="A60" s="5">
        <v>-1</v>
      </c>
      <c r="B60" s="6">
        <v>58.280423376073657</v>
      </c>
      <c r="C60" s="6">
        <f>58.2804233760736 * $B$36 / 100</f>
        <v>58.280423376073593</v>
      </c>
      <c r="D60" s="6">
        <v>7.3432038333333338</v>
      </c>
      <c r="E60" s="7">
        <f>7.34320383333333 * $B$36 / 100</f>
        <v>7.3432038333333303</v>
      </c>
    </row>
    <row r="61" spans="1:5" x14ac:dyDescent="0.25">
      <c r="A61" s="5">
        <v>5</v>
      </c>
      <c r="B61" s="6">
        <v>58.714375473994252</v>
      </c>
      <c r="C61" s="6">
        <f>58.7143754739942 * $B$36 / 100</f>
        <v>58.714375473994203</v>
      </c>
      <c r="D61" s="6">
        <v>7.3978808333333328</v>
      </c>
      <c r="E61" s="7">
        <f>7.39788083333333 * $B$36 / 100</f>
        <v>7.3978808333333301</v>
      </c>
    </row>
    <row r="62" spans="1:5" x14ac:dyDescent="0.25">
      <c r="A62" s="5">
        <v>11</v>
      </c>
      <c r="B62" s="6">
        <v>59.136740065962357</v>
      </c>
      <c r="C62" s="6">
        <f>59.1367400659623 * $B$36 / 100</f>
        <v>59.1367400659623</v>
      </c>
      <c r="D62" s="6">
        <v>7.4510978333333329</v>
      </c>
      <c r="E62" s="7">
        <f>7.45109783333333 * $B$36 / 100</f>
        <v>7.4510978333333302</v>
      </c>
    </row>
    <row r="63" spans="1:5" x14ac:dyDescent="0.25">
      <c r="A63" s="5">
        <v>18</v>
      </c>
      <c r="B63" s="6">
        <v>59.629498756591829</v>
      </c>
      <c r="C63" s="6">
        <f>59.6294987565918 * $B$36 / 100</f>
        <v>59.629498756591801</v>
      </c>
      <c r="D63" s="6">
        <v>7.5131843333333332</v>
      </c>
      <c r="E63" s="7">
        <f>7.51318433333333 * $B$36 / 100</f>
        <v>7.5131843333333306</v>
      </c>
    </row>
    <row r="64" spans="1:5" x14ac:dyDescent="0.25">
      <c r="A64" s="5">
        <v>24</v>
      </c>
      <c r="B64" s="6">
        <v>60.051863348559941</v>
      </c>
      <c r="C64" s="6">
        <f>60.0518633485599 * $B$36 / 100</f>
        <v>60.051863348559898</v>
      </c>
      <c r="D64" s="6">
        <v>7.5664013333333333</v>
      </c>
      <c r="E64" s="7">
        <f>7.56640133333333 * $B$36 / 100</f>
        <v>7.5664013333333298</v>
      </c>
    </row>
    <row r="65" spans="1:18" x14ac:dyDescent="0.25">
      <c r="A65" s="5">
        <v>30</v>
      </c>
      <c r="B65" s="6">
        <v>60.474227940528053</v>
      </c>
      <c r="C65" s="6">
        <f>60.474227940528 * $B$36 / 100</f>
        <v>60.474227940527996</v>
      </c>
      <c r="D65" s="6">
        <v>7.6196183333333334</v>
      </c>
      <c r="E65" s="7">
        <f>7.61961833333333 * $B$36 / 100</f>
        <v>7.6196183333333298</v>
      </c>
    </row>
    <row r="66" spans="1:18" x14ac:dyDescent="0.25">
      <c r="A66" s="5">
        <v>36</v>
      </c>
      <c r="B66" s="6">
        <v>60.896592532496157</v>
      </c>
      <c r="C66" s="6">
        <f>60.8965925324961 * $B$36 / 100</f>
        <v>60.896592532496101</v>
      </c>
      <c r="D66" s="6">
        <v>7.6728353333333326</v>
      </c>
      <c r="E66" s="7">
        <f>7.67283533333333 * $B$36 / 100</f>
        <v>7.6728353333333299</v>
      </c>
    </row>
    <row r="67" spans="1:18" x14ac:dyDescent="0.25">
      <c r="A67" s="5">
        <v>43</v>
      </c>
      <c r="B67" s="6">
        <v>61.38935122312563</v>
      </c>
      <c r="C67" s="6">
        <f>61.3893512231256 * $B$36 / 100</f>
        <v>61.389351223125601</v>
      </c>
      <c r="D67" s="6">
        <v>7.7349218333333329</v>
      </c>
      <c r="E67" s="7">
        <f>7.73492183333333 * $B$36 / 100</f>
        <v>7.7349218333333303</v>
      </c>
    </row>
    <row r="68" spans="1:18" x14ac:dyDescent="0.25">
      <c r="A68" s="5">
        <v>49</v>
      </c>
      <c r="B68" s="6">
        <v>61.811715815093741</v>
      </c>
      <c r="C68" s="6">
        <f>61.8117158150937 * $B$36 / 100</f>
        <v>61.811715815093706</v>
      </c>
      <c r="D68" s="6">
        <v>7.7881388333333339</v>
      </c>
      <c r="E68" s="7">
        <f>7.78813883333333 * $B$36 / 100</f>
        <v>7.7881388333333303</v>
      </c>
    </row>
    <row r="69" spans="1:18" x14ac:dyDescent="0.25">
      <c r="A69" s="5">
        <v>55</v>
      </c>
      <c r="B69" s="6">
        <v>62.234080407061853</v>
      </c>
      <c r="C69" s="6">
        <f>62.2340804070618 * $B$36 / 100</f>
        <v>62.234080407061803</v>
      </c>
      <c r="D69" s="6">
        <v>7.8413558333333331</v>
      </c>
      <c r="E69" s="7">
        <f>7.84135583333333 * $B$36 / 100</f>
        <v>7.8413558333333295</v>
      </c>
    </row>
    <row r="70" spans="1:18" x14ac:dyDescent="0.25">
      <c r="A70" s="5">
        <v>61</v>
      </c>
      <c r="B70" s="6">
        <v>62.656444999029972</v>
      </c>
      <c r="C70" s="6">
        <f>62.6564449990299 * $B$36 / 100</f>
        <v>62.656444999029901</v>
      </c>
      <c r="D70" s="6">
        <v>7.8945728333333332</v>
      </c>
      <c r="E70" s="7">
        <f>7.89457283333333 * $B$36 / 100</f>
        <v>7.8945728333333296</v>
      </c>
    </row>
    <row r="71" spans="1:18" x14ac:dyDescent="0.25">
      <c r="A71" s="5">
        <v>68</v>
      </c>
      <c r="B71" s="6">
        <v>63.14920368965943</v>
      </c>
      <c r="C71" s="6">
        <f>63.1492036896594 * $B$36 / 100</f>
        <v>63.149203689659402</v>
      </c>
      <c r="D71" s="6">
        <v>7.9566593333333326</v>
      </c>
      <c r="E71" s="7">
        <f>7.95665933333333 * $B$36 / 100</f>
        <v>7.95665933333333</v>
      </c>
    </row>
    <row r="72" spans="1:18" x14ac:dyDescent="0.25">
      <c r="A72" s="5">
        <v>74</v>
      </c>
      <c r="B72" s="6">
        <v>63.571568281627528</v>
      </c>
      <c r="C72" s="6">
        <f>63.5715682816275 * $B$36 / 100</f>
        <v>63.571568281627499</v>
      </c>
      <c r="D72" s="6">
        <v>8.0098763333333309</v>
      </c>
      <c r="E72" s="7">
        <f>8.00987633333333 * $B$36 / 100</f>
        <v>8.0098763333333292</v>
      </c>
    </row>
    <row r="73" spans="1:18" x14ac:dyDescent="0.25">
      <c r="A73" s="8">
        <v>80</v>
      </c>
      <c r="B73" s="9">
        <v>63.993932873595647</v>
      </c>
      <c r="C73" s="9">
        <f>63.9939328735956 * $B$36 / 100</f>
        <v>63.993932873595597</v>
      </c>
      <c r="D73" s="9">
        <v>8.0630933333333328</v>
      </c>
      <c r="E73" s="10">
        <f>8.06309333333333 * $B$36 / 100</f>
        <v>8.0630933333333292</v>
      </c>
    </row>
    <row r="75" spans="1:18" ht="28.9" customHeight="1" x14ac:dyDescent="0.5">
      <c r="A75" s="1" t="s">
        <v>24</v>
      </c>
      <c r="B75" s="1"/>
    </row>
    <row r="76" spans="1:18" x14ac:dyDescent="0.25">
      <c r="A76" s="21" t="s">
        <v>25</v>
      </c>
      <c r="B76" s="22">
        <v>0</v>
      </c>
      <c r="C76" s="22">
        <v>6.25</v>
      </c>
      <c r="D76" s="22">
        <v>12.5</v>
      </c>
      <c r="E76" s="22">
        <v>18.75</v>
      </c>
      <c r="F76" s="22">
        <v>25</v>
      </c>
      <c r="G76" s="22">
        <v>31.25</v>
      </c>
      <c r="H76" s="22">
        <v>37.5</v>
      </c>
      <c r="I76" s="22">
        <v>43.75</v>
      </c>
      <c r="J76" s="22">
        <v>50</v>
      </c>
      <c r="K76" s="22">
        <v>56.25</v>
      </c>
      <c r="L76" s="22">
        <v>62.5</v>
      </c>
      <c r="M76" s="22">
        <v>68.75</v>
      </c>
      <c r="N76" s="22">
        <v>75</v>
      </c>
      <c r="O76" s="22">
        <v>81.25</v>
      </c>
      <c r="P76" s="22">
        <v>87.5</v>
      </c>
      <c r="Q76" s="22">
        <v>93.75</v>
      </c>
      <c r="R76" s="23">
        <v>100</v>
      </c>
    </row>
    <row r="77" spans="1:18" x14ac:dyDescent="0.25">
      <c r="A77" s="5" t="s">
        <v>26</v>
      </c>
      <c r="B77" s="6">
        <f>0 * $B$38 + (1 - 0) * $B$37</f>
        <v>14.7</v>
      </c>
      <c r="C77" s="6">
        <f>0.0625 * $B$38 + (1 - 0.0625) * $B$37</f>
        <v>14.344250000000001</v>
      </c>
      <c r="D77" s="6">
        <f>0.125 * $B$38 + (1 - 0.125) * $B$37</f>
        <v>13.988499999999998</v>
      </c>
      <c r="E77" s="6">
        <f>0.1875 * $B$38 + (1 - 0.1875) * $B$37</f>
        <v>13.63275</v>
      </c>
      <c r="F77" s="6">
        <f>0.25 * $B$38 + (1 - 0.25) * $B$37</f>
        <v>13.276999999999997</v>
      </c>
      <c r="G77" s="6">
        <f>0.3125 * $B$38 + (1 - 0.3125) * $B$37</f>
        <v>12.921249999999999</v>
      </c>
      <c r="H77" s="6">
        <f>0.375 * $B$38 + (1 - 0.375) * $B$37</f>
        <v>12.5655</v>
      </c>
      <c r="I77" s="6">
        <f>0.4375 * $B$38 + (1 - 0.4375) * $B$37</f>
        <v>12.20975</v>
      </c>
      <c r="J77" s="6">
        <f>0.5 * $B$38 + (1 - 0.5) * $B$37</f>
        <v>11.853999999999999</v>
      </c>
      <c r="K77" s="6">
        <f>0.5625 * $B$38 + (1 - 0.5625) * $B$37</f>
        <v>11.498249999999999</v>
      </c>
      <c r="L77" s="6">
        <f>0.625 * $B$38 + (1 - 0.625) * $B$37</f>
        <v>11.142499999999998</v>
      </c>
      <c r="M77" s="6">
        <f>0.6875 * $B$38 + (1 - 0.6875) * $B$37</f>
        <v>10.78675</v>
      </c>
      <c r="N77" s="6">
        <f>0.75 * $B$38 + (1 - 0.75) * $B$37</f>
        <v>10.430999999999999</v>
      </c>
      <c r="O77" s="6">
        <f>0.8125 * $B$38 + (1 - 0.8125) * $B$37</f>
        <v>10.075249999999999</v>
      </c>
      <c r="P77" s="6">
        <f>0.875 * $B$38 + (1 - 0.875) * $B$37</f>
        <v>9.7195</v>
      </c>
      <c r="Q77" s="6">
        <f>0.9375 * $B$38 + (1 - 0.9375) * $B$37</f>
        <v>9.3637499999999978</v>
      </c>
      <c r="R77" s="7">
        <f>1 * $B$38 + (1 - 1) * $B$37</f>
        <v>9.0079999999999991</v>
      </c>
    </row>
    <row r="78" spans="1:18" x14ac:dyDescent="0.25">
      <c r="A78" s="8" t="s">
        <v>27</v>
      </c>
      <c r="B78" s="9">
        <f>(0 * $B$38 + (1 - 0) * $B$37) * $B$36 / 100</f>
        <v>14.7</v>
      </c>
      <c r="C78" s="9">
        <f>(0.0625 * $B$38 + (1 - 0.0625) * $B$37) * $B$36 / 100</f>
        <v>14.344249999999999</v>
      </c>
      <c r="D78" s="9">
        <f>(0.125 * $B$38 + (1 - 0.125) * $B$37) * $B$36 / 100</f>
        <v>13.988499999999998</v>
      </c>
      <c r="E78" s="9">
        <f>(0.1875 * $B$38 + (1 - 0.1875) * $B$37) * $B$36 / 100</f>
        <v>13.632749999999998</v>
      </c>
      <c r="F78" s="9">
        <f>(0.25 * $B$38 + (1 - 0.25) * $B$37) * $B$36 / 100</f>
        <v>13.276999999999997</v>
      </c>
      <c r="G78" s="9">
        <f>(0.3125 * $B$38 + (1 - 0.3125) * $B$37) * $B$36 / 100</f>
        <v>12.921249999999997</v>
      </c>
      <c r="H78" s="9">
        <f>(0.375 * $B$38 + (1 - 0.375) * $B$37) * $B$36 / 100</f>
        <v>12.5655</v>
      </c>
      <c r="I78" s="9">
        <f>(0.4375 * $B$38 + (1 - 0.4375) * $B$37) * $B$36 / 100</f>
        <v>12.20975</v>
      </c>
      <c r="J78" s="9">
        <f>(0.5 * $B$38 + (1 - 0.5) * $B$37) * $B$36 / 100</f>
        <v>11.853999999999999</v>
      </c>
      <c r="K78" s="9">
        <f>(0.5625 * $B$38 + (1 - 0.5625) * $B$37) * $B$36 / 100</f>
        <v>11.498249999999999</v>
      </c>
      <c r="L78" s="9">
        <f>(0.625 * $B$38 + (1 - 0.625) * $B$37) * $B$36 / 100</f>
        <v>11.142499999999998</v>
      </c>
      <c r="M78" s="9">
        <f>(0.6875 * $B$38 + (1 - 0.6875) * $B$37) * $B$36 / 100</f>
        <v>10.78675</v>
      </c>
      <c r="N78" s="9">
        <f>(0.75 * $B$38 + (1 - 0.75) * $B$37) * $B$36 / 100</f>
        <v>10.430999999999999</v>
      </c>
      <c r="O78" s="9">
        <f>(0.8125 * $B$38 + (1 - 0.8125) * $B$37) * $B$36 / 100</f>
        <v>10.075249999999999</v>
      </c>
      <c r="P78" s="9">
        <f>(0.875 * $B$38 + (1 - 0.875) * $B$37) * $B$36 / 100</f>
        <v>9.7195</v>
      </c>
      <c r="Q78" s="9">
        <f>(0.9375 * $B$38 + (1 - 0.9375) * $B$37) * $B$36 / 100</f>
        <v>9.3637499999999978</v>
      </c>
      <c r="R78" s="10">
        <f>(1 * $B$38 + (1 - 1) * $B$37) * $B$36 / 100</f>
        <v>9.0079999999999991</v>
      </c>
    </row>
    <row r="80" spans="1:18" ht="28.9" customHeight="1" x14ac:dyDescent="0.5">
      <c r="A80" s="1" t="s">
        <v>28</v>
      </c>
      <c r="B80" s="1"/>
    </row>
    <row r="81" spans="1:34" x14ac:dyDescent="0.25">
      <c r="A81" s="24" t="s">
        <v>29</v>
      </c>
      <c r="B81" s="25" t="s">
        <v>30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25"/>
      <c r="V81" s="25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6"/>
    </row>
    <row r="82" spans="1:34" x14ac:dyDescent="0.25">
      <c r="A82" s="27" t="s">
        <v>19</v>
      </c>
      <c r="B82" s="28">
        <v>4.5</v>
      </c>
      <c r="C82" s="28">
        <v>5</v>
      </c>
      <c r="D82" s="28">
        <v>5.5</v>
      </c>
      <c r="E82" s="28">
        <v>6</v>
      </c>
      <c r="F82" s="28">
        <v>6.5</v>
      </c>
      <c r="G82" s="28">
        <v>7</v>
      </c>
      <c r="H82" s="28">
        <v>7.5</v>
      </c>
      <c r="I82" s="28">
        <v>8</v>
      </c>
      <c r="J82" s="28">
        <v>8.5</v>
      </c>
      <c r="K82" s="28">
        <v>9</v>
      </c>
      <c r="L82" s="28">
        <v>9.5</v>
      </c>
      <c r="M82" s="28">
        <v>10</v>
      </c>
      <c r="N82" s="28">
        <v>10.5</v>
      </c>
      <c r="O82" s="28">
        <v>11</v>
      </c>
      <c r="P82" s="28">
        <v>11.5</v>
      </c>
      <c r="Q82" s="28">
        <v>12</v>
      </c>
      <c r="R82" s="28">
        <v>12.5</v>
      </c>
      <c r="S82" s="28">
        <v>13</v>
      </c>
      <c r="T82" s="28">
        <v>13.5</v>
      </c>
      <c r="U82" s="28">
        <v>14</v>
      </c>
      <c r="V82" s="28">
        <v>14.5</v>
      </c>
      <c r="W82" s="28">
        <v>15</v>
      </c>
      <c r="X82" s="28">
        <v>15.5</v>
      </c>
      <c r="Y82" s="28">
        <v>16</v>
      </c>
      <c r="Z82" s="28">
        <v>16.5</v>
      </c>
      <c r="AA82" s="28">
        <v>17</v>
      </c>
      <c r="AB82" s="28">
        <v>17.5</v>
      </c>
      <c r="AC82" s="28">
        <v>18</v>
      </c>
      <c r="AD82" s="28">
        <v>18.5</v>
      </c>
      <c r="AE82" s="28">
        <v>19</v>
      </c>
      <c r="AF82" s="28">
        <v>19.5</v>
      </c>
      <c r="AG82" s="28">
        <v>20</v>
      </c>
      <c r="AH82" s="29">
        <v>20.5</v>
      </c>
    </row>
    <row r="83" spans="1:34" x14ac:dyDescent="0.25">
      <c r="A83" s="30">
        <v>-120</v>
      </c>
      <c r="B83" s="31">
        <v>4.484849854043687</v>
      </c>
      <c r="C83" s="31">
        <v>3.9646136710201332</v>
      </c>
      <c r="D83" s="31">
        <v>3.5035613575502129</v>
      </c>
      <c r="E83" s="31">
        <v>3.0966577577087859</v>
      </c>
      <c r="F83" s="31">
        <v>2.739091602424462</v>
      </c>
      <c r="G83" s="31">
        <v>2.426275509479602</v>
      </c>
      <c r="H83" s="31">
        <v>2.153845983510323</v>
      </c>
      <c r="I83" s="31">
        <v>1.9176634160064929</v>
      </c>
      <c r="J83" s="31">
        <v>1.713812085311734</v>
      </c>
      <c r="K83" s="31">
        <v>1.538600156623426</v>
      </c>
      <c r="L83" s="31">
        <v>1.3885596819927031</v>
      </c>
      <c r="M83" s="31">
        <v>1.260446600324443</v>
      </c>
      <c r="N83" s="31">
        <v>1.151240737377289</v>
      </c>
      <c r="O83" s="31">
        <v>1.058145805763635</v>
      </c>
      <c r="P83" s="31">
        <v>0.97858940494962154</v>
      </c>
      <c r="Q83" s="31">
        <v>0.91022302125515453</v>
      </c>
      <c r="R83" s="31">
        <v>0.8509220278538846</v>
      </c>
      <c r="S83" s="31">
        <v>0.79878568477321832</v>
      </c>
      <c r="T83" s="31">
        <v>0.75213713889432665</v>
      </c>
      <c r="U83" s="31">
        <v>0.70952342395210621</v>
      </c>
      <c r="V83" s="31">
        <v>0.66971546053522879</v>
      </c>
      <c r="W83" s="31">
        <v>0.63170805608613823</v>
      </c>
      <c r="X83" s="31">
        <v>0.5947199049009857</v>
      </c>
      <c r="Y83" s="31">
        <v>0.55819358812971853</v>
      </c>
      <c r="Z83" s="31">
        <v>0.52179557377601271</v>
      </c>
      <c r="AA83" s="31">
        <v>0.48541621669729013</v>
      </c>
      <c r="AB83" s="31">
        <v>0.44916975860478742</v>
      </c>
      <c r="AC83" s="31">
        <v>0.41339432806339899</v>
      </c>
      <c r="AD83" s="31">
        <v>0.37865194049185291</v>
      </c>
      <c r="AE83" s="31">
        <v>0.34572849816258988</v>
      </c>
      <c r="AF83" s="31">
        <v>0.31563379020182591</v>
      </c>
      <c r="AG83" s="31">
        <v>0.28960149258949391</v>
      </c>
      <c r="AH83" s="32">
        <v>0.26908916815936479</v>
      </c>
    </row>
    <row r="84" spans="1:34" x14ac:dyDescent="0.25">
      <c r="A84" s="30">
        <v>-114</v>
      </c>
      <c r="B84" s="31">
        <v>4.5310399889952766</v>
      </c>
      <c r="C84" s="31">
        <v>4.0051559546200508</v>
      </c>
      <c r="D84" s="31">
        <v>3.5389511884226499</v>
      </c>
      <c r="E84" s="31">
        <v>3.127369031501444</v>
      </c>
      <c r="F84" s="31">
        <v>2.7655767118085648</v>
      </c>
      <c r="G84" s="31">
        <v>2.4489653441498911</v>
      </c>
      <c r="H84" s="31">
        <v>2.173149930185061</v>
      </c>
      <c r="I84" s="31">
        <v>1.933969358427456</v>
      </c>
      <c r="J84" s="31">
        <v>1.7274864042442251</v>
      </c>
      <c r="K84" s="31">
        <v>1.549987729856261</v>
      </c>
      <c r="L84" s="31">
        <v>1.397983884338218</v>
      </c>
      <c r="M84" s="31">
        <v>1.2682093036184909</v>
      </c>
      <c r="N84" s="31">
        <v>1.157622310479248</v>
      </c>
      <c r="O84" s="31">
        <v>1.063405114556395</v>
      </c>
      <c r="P84" s="31">
        <v>0.98296381233958963</v>
      </c>
      <c r="Q84" s="31">
        <v>0.91392838717226554</v>
      </c>
      <c r="R84" s="31">
        <v>0.85415270925158837</v>
      </c>
      <c r="S84" s="31">
        <v>0.80171453562847805</v>
      </c>
      <c r="T84" s="31">
        <v>0.75491551020762604</v>
      </c>
      <c r="U84" s="31">
        <v>0.71228116374745809</v>
      </c>
      <c r="V84" s="31">
        <v>0.67256091386015782</v>
      </c>
      <c r="W84" s="31">
        <v>0.6347280650116891</v>
      </c>
      <c r="X84" s="31">
        <v>0.59797980852171218</v>
      </c>
      <c r="Y84" s="31">
        <v>0.56173722256369607</v>
      </c>
      <c r="Z84" s="31">
        <v>0.52564527216485324</v>
      </c>
      <c r="AA84" s="31">
        <v>0.48957280920611268</v>
      </c>
      <c r="AB84" s="31">
        <v>0.45361257242220709</v>
      </c>
      <c r="AC84" s="31">
        <v>0.4180811874015955</v>
      </c>
      <c r="AD84" s="31">
        <v>0.38351916658648821</v>
      </c>
      <c r="AE84" s="31">
        <v>0.35069090927286339</v>
      </c>
      <c r="AF84" s="31">
        <v>0.32058470161043928</v>
      </c>
      <c r="AG84" s="31">
        <v>0.29441271660269308</v>
      </c>
      <c r="AH84" s="32">
        <v>0.27361101410688698</v>
      </c>
    </row>
    <row r="85" spans="1:34" x14ac:dyDescent="0.25">
      <c r="A85" s="30">
        <v>-108</v>
      </c>
      <c r="B85" s="31">
        <v>4.5777339733236371</v>
      </c>
      <c r="C85" s="31">
        <v>4.0461575086650026</v>
      </c>
      <c r="D85" s="31">
        <v>3.574757775309251</v>
      </c>
      <c r="E85" s="31">
        <v>3.1584566113782691</v>
      </c>
      <c r="F85" s="31">
        <v>2.7923997418477078</v>
      </c>
      <c r="G85" s="31">
        <v>2.4719567785469652</v>
      </c>
      <c r="H85" s="31">
        <v>2.1927212201591959</v>
      </c>
      <c r="I85" s="31">
        <v>1.950510452221305</v>
      </c>
      <c r="J85" s="31">
        <v>1.7413657471239561</v>
      </c>
      <c r="K85" s="31">
        <v>1.5615522641115609</v>
      </c>
      <c r="L85" s="31">
        <v>1.407559049282296</v>
      </c>
      <c r="M85" s="31">
        <v>1.2760990355880739</v>
      </c>
      <c r="N85" s="31">
        <v>1.1641090428345739</v>
      </c>
      <c r="O85" s="31">
        <v>1.068749777681234</v>
      </c>
      <c r="P85" s="31">
        <v>0.98740583364122092</v>
      </c>
      <c r="Q85" s="31">
        <v>0.9176856910814909</v>
      </c>
      <c r="R85" s="31">
        <v>0.85742171722272431</v>
      </c>
      <c r="S85" s="31">
        <v>0.80467016613936448</v>
      </c>
      <c r="T85" s="31">
        <v>0.75771117875962435</v>
      </c>
      <c r="U85" s="31">
        <v>0.7150487828654416</v>
      </c>
      <c r="V85" s="31">
        <v>0.67541089309252311</v>
      </c>
      <c r="W85" s="31">
        <v>0.63774931093033771</v>
      </c>
      <c r="X85" s="31">
        <v>0.6012397247220902</v>
      </c>
      <c r="Y85" s="31">
        <v>0.5652817096647561</v>
      </c>
      <c r="Z85" s="31">
        <v>0.52949872780905227</v>
      </c>
      <c r="AA85" s="31">
        <v>0.49373812805944628</v>
      </c>
      <c r="AB85" s="31">
        <v>0.45807114617419142</v>
      </c>
      <c r="AC85" s="31">
        <v>0.42279290476524362</v>
      </c>
      <c r="AD85" s="31">
        <v>0.38842241329834343</v>
      </c>
      <c r="AE85" s="31">
        <v>0.355702568092987</v>
      </c>
      <c r="AF85" s="31">
        <v>0.32560015232244433</v>
      </c>
      <c r="AG85" s="31">
        <v>0.29930583601364102</v>
      </c>
      <c r="AH85" s="32">
        <v>0.27823417604741613</v>
      </c>
    </row>
    <row r="86" spans="1:34" x14ac:dyDescent="0.25">
      <c r="A86" s="30">
        <v>-101</v>
      </c>
      <c r="B86" s="31">
        <v>4.6328566367833552</v>
      </c>
      <c r="C86" s="31">
        <v>4.0945822305372532</v>
      </c>
      <c r="D86" s="31">
        <v>3.6170675385396458</v>
      </c>
      <c r="E86" s="31">
        <v>3.195209312106527</v>
      </c>
      <c r="F86" s="31">
        <v>2.824128189407646</v>
      </c>
      <c r="G86" s="31">
        <v>2.499168695466516</v>
      </c>
      <c r="H86" s="31">
        <v>2.215899242160388</v>
      </c>
      <c r="I86" s="31">
        <v>1.9701121282202749</v>
      </c>
      <c r="J86" s="31">
        <v>1.7578235392309469</v>
      </c>
      <c r="K86" s="31">
        <v>1.575273547630925</v>
      </c>
      <c r="L86" s="31">
        <v>1.4189261127124799</v>
      </c>
      <c r="M86" s="31">
        <v>1.285469080621638</v>
      </c>
      <c r="N86" s="31">
        <v>1.1718141843581851</v>
      </c>
      <c r="O86" s="31">
        <v>1.0750970437756551</v>
      </c>
      <c r="P86" s="31">
        <v>0.99267716558133068</v>
      </c>
      <c r="Q86" s="31">
        <v>0.92213794333626486</v>
      </c>
      <c r="R86" s="31">
        <v>0.86128665745524935</v>
      </c>
      <c r="S86" s="31">
        <v>0.80815447520682937</v>
      </c>
      <c r="T86" s="31">
        <v>0.76099645071332123</v>
      </c>
      <c r="U86" s="31">
        <v>0.71829152495077575</v>
      </c>
      <c r="V86" s="31">
        <v>0.67874252574899152</v>
      </c>
      <c r="W86" s="31">
        <v>0.64127616779155949</v>
      </c>
      <c r="X86" s="31">
        <v>0.60504305261578206</v>
      </c>
      <c r="Y86" s="31">
        <v>0.56941766861273446</v>
      </c>
      <c r="Z86" s="31">
        <v>0.53399839102724289</v>
      </c>
      <c r="AA86" s="31">
        <v>0.49860748195788129</v>
      </c>
      <c r="AB86" s="31">
        <v>0.46329109035699811</v>
      </c>
      <c r="AC86" s="31">
        <v>0.42831925203068077</v>
      </c>
      <c r="AD86" s="31">
        <v>0.39418588963875928</v>
      </c>
      <c r="AE86" s="31">
        <v>0.36160881269483991</v>
      </c>
      <c r="AF86" s="31">
        <v>0.33152971756625849</v>
      </c>
      <c r="AG86" s="31">
        <v>0.30511418747411401</v>
      </c>
      <c r="AH86" s="32">
        <v>0.28375169249330062</v>
      </c>
    </row>
    <row r="87" spans="1:34" x14ac:dyDescent="0.25">
      <c r="A87" s="30">
        <v>-95</v>
      </c>
      <c r="B87" s="31">
        <v>4.680666883026138</v>
      </c>
      <c r="C87" s="31">
        <v>4.1366023528218054</v>
      </c>
      <c r="D87" s="31">
        <v>3.6537994730762371</v>
      </c>
      <c r="E87" s="31">
        <v>3.227133492128953</v>
      </c>
      <c r="F87" s="31">
        <v>2.8517035451732271</v>
      </c>
      <c r="G87" s="31">
        <v>2.5228326542560788</v>
      </c>
      <c r="H87" s="31">
        <v>2.236067728278289</v>
      </c>
      <c r="I87" s="31">
        <v>1.987179562994382</v>
      </c>
      <c r="J87" s="31">
        <v>1.7721628410126491</v>
      </c>
      <c r="K87" s="31">
        <v>1.58723613179513</v>
      </c>
      <c r="L87" s="31">
        <v>1.428841891657618</v>
      </c>
      <c r="M87" s="31">
        <v>1.2936464637696501</v>
      </c>
      <c r="N87" s="31">
        <v>1.1785400781545361</v>
      </c>
      <c r="O87" s="31">
        <v>1.080636851689331</v>
      </c>
      <c r="P87" s="31">
        <v>0.99727478810483605</v>
      </c>
      <c r="Q87" s="31">
        <v>0.92601577798561507</v>
      </c>
      <c r="R87" s="31">
        <v>0.86464559876998393</v>
      </c>
      <c r="S87" s="31">
        <v>0.81117391475001355</v>
      </c>
      <c r="T87" s="31">
        <v>0.76383427707152574</v>
      </c>
      <c r="U87" s="31">
        <v>0.72108412373409536</v>
      </c>
      <c r="V87" s="31">
        <v>0.68160477959103982</v>
      </c>
      <c r="W87" s="31">
        <v>0.644301456349477</v>
      </c>
      <c r="X87" s="31">
        <v>0.60830325257021134</v>
      </c>
      <c r="Y87" s="31">
        <v>0.57296315366784789</v>
      </c>
      <c r="Z87" s="31">
        <v>0.53785803191074233</v>
      </c>
      <c r="AA87" s="31">
        <v>0.50278864642097088</v>
      </c>
      <c r="AB87" s="31">
        <v>0.4677796431743958</v>
      </c>
      <c r="AC87" s="31">
        <v>0.43307955500064038</v>
      </c>
      <c r="AD87" s="31">
        <v>0.39916080158303652</v>
      </c>
      <c r="AE87" s="31">
        <v>0.3667196894587193</v>
      </c>
      <c r="AF87" s="31">
        <v>0.33667641201856569</v>
      </c>
      <c r="AG87" s="31">
        <v>0.31017504950714431</v>
      </c>
      <c r="AH87" s="32">
        <v>0.28858356902290438</v>
      </c>
    </row>
    <row r="88" spans="1:34" x14ac:dyDescent="0.25">
      <c r="A88" s="30">
        <v>-89</v>
      </c>
      <c r="B88" s="31">
        <v>4.7290037862207503</v>
      </c>
      <c r="C88" s="31">
        <v>4.1791035322131576</v>
      </c>
      <c r="D88" s="31">
        <v>3.6909689293754808</v>
      </c>
      <c r="E88" s="31">
        <v>3.259453723070751</v>
      </c>
      <c r="F88" s="31">
        <v>2.8796355455157641</v>
      </c>
      <c r="G88" s="31">
        <v>2.5468159157810608</v>
      </c>
      <c r="H88" s="31">
        <v>2.2565202397909352</v>
      </c>
      <c r="I88" s="31">
        <v>2.004497810323437</v>
      </c>
      <c r="J88" s="31">
        <v>1.786721807010373</v>
      </c>
      <c r="K88" s="31">
        <v>1.5993892963372991</v>
      </c>
      <c r="L88" s="31">
        <v>1.43892123164353</v>
      </c>
      <c r="M88" s="31">
        <v>1.301962453122125</v>
      </c>
      <c r="N88" s="31">
        <v>1.185381687819905</v>
      </c>
      <c r="O88" s="31">
        <v>1.08627154963745</v>
      </c>
      <c r="P88" s="31">
        <v>1.0019485393290739</v>
      </c>
      <c r="Q88" s="31">
        <v>0.92995304450286731</v>
      </c>
      <c r="R88" s="31">
        <v>0.86804933962065767</v>
      </c>
      <c r="S88" s="31">
        <v>0.81422558599803807</v>
      </c>
      <c r="T88" s="31">
        <v>0.76669383180435513</v>
      </c>
      <c r="U88" s="31">
        <v>0.72389001206268699</v>
      </c>
      <c r="V88" s="31">
        <v>0.68447394864989142</v>
      </c>
      <c r="W88" s="31">
        <v>0.64732935029658034</v>
      </c>
      <c r="X88" s="31">
        <v>0.61156381258709491</v>
      </c>
      <c r="Y88" s="31">
        <v>0.57650881795955855</v>
      </c>
      <c r="Z88" s="31">
        <v>0.54171973570582033</v>
      </c>
      <c r="AA88" s="31">
        <v>0.50697582197151547</v>
      </c>
      <c r="AB88" s="31">
        <v>0.47228021975600681</v>
      </c>
      <c r="AC88" s="31">
        <v>0.43785995891242102</v>
      </c>
      <c r="AD88" s="31">
        <v>0.40416595614763301</v>
      </c>
      <c r="AE88" s="31">
        <v>0.37187301502228459</v>
      </c>
      <c r="AF88" s="31">
        <v>0.34187982595075189</v>
      </c>
      <c r="AG88" s="31">
        <v>0.31530896620116172</v>
      </c>
      <c r="AH88" s="32">
        <v>0.29350689989547968</v>
      </c>
    </row>
    <row r="89" spans="1:34" x14ac:dyDescent="0.25">
      <c r="A89" s="30">
        <v>-83</v>
      </c>
      <c r="B89" s="31">
        <v>4.777874653647479</v>
      </c>
      <c r="C89" s="31">
        <v>4.2220927535979369</v>
      </c>
      <c r="D89" s="31">
        <v>3.7285825699303259</v>
      </c>
      <c r="E89" s="31">
        <v>3.2921763450312018</v>
      </c>
      <c r="F89" s="31">
        <v>2.9079302081408769</v>
      </c>
      <c r="G89" s="31">
        <v>2.5711241753534071</v>
      </c>
      <c r="H89" s="31">
        <v>2.2772621496166101</v>
      </c>
      <c r="I89" s="31">
        <v>2.0220719207320501</v>
      </c>
      <c r="J89" s="31">
        <v>1.801505165355056</v>
      </c>
      <c r="K89" s="31">
        <v>1.611737446994701</v>
      </c>
      <c r="L89" s="31">
        <v>1.4491682160138251</v>
      </c>
      <c r="M89" s="31">
        <v>1.3104208096289931</v>
      </c>
      <c r="N89" s="31">
        <v>1.192342451910557</v>
      </c>
      <c r="O89" s="31">
        <v>1.092004253782606</v>
      </c>
      <c r="P89" s="31">
        <v>1.006701213022978</v>
      </c>
      <c r="Q89" s="31">
        <v>0.93395221426328423</v>
      </c>
      <c r="R89" s="31">
        <v>0.87150002898886714</v>
      </c>
      <c r="S89" s="31">
        <v>0.81731131553883885</v>
      </c>
      <c r="T89" s="31">
        <v>0.76957661910606634</v>
      </c>
      <c r="U89" s="31">
        <v>0.72671037173714548</v>
      </c>
      <c r="V89" s="31">
        <v>0.68735089233244995</v>
      </c>
      <c r="W89" s="31">
        <v>0.6503603866461275</v>
      </c>
      <c r="X89" s="31">
        <v>0.61482494728601367</v>
      </c>
      <c r="Y89" s="31">
        <v>0.58005455371375625</v>
      </c>
      <c r="Z89" s="31">
        <v>0.54558307224474234</v>
      </c>
      <c r="AA89" s="31">
        <v>0.51116825604809624</v>
      </c>
      <c r="AB89" s="31">
        <v>0.47679174514672351</v>
      </c>
      <c r="AC89" s="31">
        <v>0.44265906641725461</v>
      </c>
      <c r="AD89" s="31">
        <v>0.40919963359009848</v>
      </c>
      <c r="AE89" s="31">
        <v>0.37706674724940109</v>
      </c>
      <c r="AF89" s="31">
        <v>0.34713759483307532</v>
      </c>
      <c r="AG89" s="31">
        <v>0.32051325063275382</v>
      </c>
      <c r="AH89" s="32">
        <v>0.29851867579388619</v>
      </c>
    </row>
    <row r="90" spans="1:34" x14ac:dyDescent="0.25">
      <c r="A90" s="30">
        <v>-76</v>
      </c>
      <c r="B90" s="31">
        <v>4.8355753557499872</v>
      </c>
      <c r="C90" s="31">
        <v>4.2728730646039468</v>
      </c>
      <c r="D90" s="31">
        <v>3.7730355085535749</v>
      </c>
      <c r="E90" s="31">
        <v>3.3308698431795261</v>
      </c>
      <c r="F90" s="31">
        <v>2.9414071109162152</v>
      </c>
      <c r="G90" s="31">
        <v>2.5999022410518098</v>
      </c>
      <c r="H90" s="31">
        <v>2.301834049728233</v>
      </c>
      <c r="I90" s="31">
        <v>2.0429052399411529</v>
      </c>
      <c r="J90" s="31">
        <v>1.81904240154</v>
      </c>
      <c r="K90" s="31">
        <v>1.6263960112279581</v>
      </c>
      <c r="L90" s="31">
        <v>1.461340432561965</v>
      </c>
      <c r="M90" s="31">
        <v>1.320473915952701</v>
      </c>
      <c r="N90" s="31">
        <v>1.2006185986646141</v>
      </c>
      <c r="O90" s="31">
        <v>1.0988205048159061</v>
      </c>
      <c r="P90" s="31">
        <v>1.0123495453785141</v>
      </c>
      <c r="Q90" s="31">
        <v>0.93869951817816122</v>
      </c>
      <c r="R90" s="31">
        <v>0.87558810789429253</v>
      </c>
      <c r="S90" s="31">
        <v>0.82095688606011241</v>
      </c>
      <c r="T90" s="31">
        <v>0.77297131106261585</v>
      </c>
      <c r="U90" s="31">
        <v>0.73002072814248931</v>
      </c>
      <c r="V90" s="31">
        <v>0.6907183693942196</v>
      </c>
      <c r="W90" s="31">
        <v>0.65390135376603997</v>
      </c>
      <c r="X90" s="31">
        <v>0.61863068705991608</v>
      </c>
      <c r="Y90" s="31">
        <v>0.58419126193159698</v>
      </c>
      <c r="Z90" s="31">
        <v>0.55009185789056581</v>
      </c>
      <c r="AA90" s="31">
        <v>0.51606514130004821</v>
      </c>
      <c r="AB90" s="31">
        <v>0.48206766537707862</v>
      </c>
      <c r="AC90" s="31">
        <v>0.44827987019237442</v>
      </c>
      <c r="AD90" s="31">
        <v>0.41510608267043753</v>
      </c>
      <c r="AE90" s="31">
        <v>0.38317451658954849</v>
      </c>
      <c r="AF90" s="31">
        <v>0.35333727258169051</v>
      </c>
      <c r="AG90" s="31">
        <v>0.32667033813262603</v>
      </c>
      <c r="AH90" s="32">
        <v>0.30447358758192772</v>
      </c>
    </row>
    <row r="91" spans="1:34" x14ac:dyDescent="0.25">
      <c r="A91" s="30">
        <v>-70</v>
      </c>
      <c r="B91" s="31">
        <v>4.8856284535937284</v>
      </c>
      <c r="C91" s="31">
        <v>4.3169439122325164</v>
      </c>
      <c r="D91" s="31">
        <v>3.8116346442642048</v>
      </c>
      <c r="E91" s="31">
        <v>3.3644863022929759</v>
      </c>
      <c r="F91" s="31">
        <v>2.9705084257767642</v>
      </c>
      <c r="G91" s="31">
        <v>2.624934441027249</v>
      </c>
      <c r="H91" s="31">
        <v>2.3232216612098751</v>
      </c>
      <c r="I91" s="31">
        <v>2.0610512863438282</v>
      </c>
      <c r="J91" s="31">
        <v>1.834328403302063</v>
      </c>
      <c r="K91" s="31">
        <v>1.6391819858112759</v>
      </c>
      <c r="L91" s="31">
        <v>1.4719648944519259</v>
      </c>
      <c r="M91" s="31">
        <v>1.3292538766582109</v>
      </c>
      <c r="N91" s="31">
        <v>1.207849566718102</v>
      </c>
      <c r="O91" s="31">
        <v>1.104776485773316</v>
      </c>
      <c r="P91" s="31">
        <v>1.017283041819308</v>
      </c>
      <c r="Q91" s="31">
        <v>0.94284152970531754</v>
      </c>
      <c r="R91" s="31">
        <v>0.87914813113431611</v>
      </c>
      <c r="S91" s="31">
        <v>0.82412291466303245</v>
      </c>
      <c r="T91" s="31">
        <v>0.77590983570195071</v>
      </c>
      <c r="U91" s="31">
        <v>0.73287673651531626</v>
      </c>
      <c r="V91" s="31">
        <v>0.69361534622109766</v>
      </c>
      <c r="W91" s="31">
        <v>0.65694128079107739</v>
      </c>
      <c r="X91" s="31">
        <v>0.62189404305071794</v>
      </c>
      <c r="Y91" s="31">
        <v>0.58773702267930072</v>
      </c>
      <c r="Z91" s="31">
        <v>0.55395749620982038</v>
      </c>
      <c r="AA91" s="31">
        <v>0.52026662702901827</v>
      </c>
      <c r="AB91" s="31">
        <v>0.48659946537745752</v>
      </c>
      <c r="AC91" s="31">
        <v>0.45311494834936822</v>
      </c>
      <c r="AD91" s="31">
        <v>0.42019589989276429</v>
      </c>
      <c r="AE91" s="31">
        <v>0.38844903080947202</v>
      </c>
      <c r="AF91" s="31">
        <v>0.35870493875497211</v>
      </c>
      <c r="AG91" s="31">
        <v>0.33201810823854322</v>
      </c>
      <c r="AH91" s="32">
        <v>0.30966691062328527</v>
      </c>
    </row>
    <row r="92" spans="1:34" x14ac:dyDescent="0.25">
      <c r="A92" s="30">
        <v>-64</v>
      </c>
      <c r="B92" s="31">
        <v>4.9362389875363419</v>
      </c>
      <c r="C92" s="31">
        <v>4.3615252528079793</v>
      </c>
      <c r="D92" s="31">
        <v>3.8506993942706269</v>
      </c>
      <c r="E92" s="31">
        <v>3.3985255615519838</v>
      </c>
      <c r="F92" s="31">
        <v>2.999991791133501</v>
      </c>
      <c r="G92" s="31">
        <v>2.6503100063503848</v>
      </c>
      <c r="H92" s="31">
        <v>2.3449160173915908</v>
      </c>
      <c r="I92" s="31">
        <v>2.07946952129983</v>
      </c>
      <c r="J92" s="31">
        <v>1.8498541019715671</v>
      </c>
      <c r="K92" s="31">
        <v>1.6521772301570281</v>
      </c>
      <c r="L92" s="31">
        <v>1.482770263460178</v>
      </c>
      <c r="M92" s="31">
        <v>1.3381884463387479</v>
      </c>
      <c r="N92" s="31">
        <v>1.215210910104219</v>
      </c>
      <c r="O92" s="31">
        <v>1.1108406729218221</v>
      </c>
      <c r="P92" s="31">
        <v>1.022304639810544</v>
      </c>
      <c r="Q92" s="31">
        <v>0.94705360264313398</v>
      </c>
      <c r="R92" s="31">
        <v>0.88276224014608728</v>
      </c>
      <c r="S92" s="31">
        <v>0.8273291178996397</v>
      </c>
      <c r="T92" s="31">
        <v>0.77887668833781809</v>
      </c>
      <c r="U92" s="31">
        <v>0.73575129074835266</v>
      </c>
      <c r="V92" s="31">
        <v>0.69652315127276576</v>
      </c>
      <c r="W92" s="31">
        <v>0.65998638290633205</v>
      </c>
      <c r="X92" s="31">
        <v>0.62515898549805715</v>
      </c>
      <c r="Y92" s="31">
        <v>0.59128284575071688</v>
      </c>
      <c r="Z92" s="31">
        <v>0.55782373722083101</v>
      </c>
      <c r="AA92" s="31">
        <v>0.52447132031867982</v>
      </c>
      <c r="AB92" s="31">
        <v>0.49113914230832528</v>
      </c>
      <c r="AC92" s="31">
        <v>0.45796463730751008</v>
      </c>
      <c r="AD92" s="31">
        <v>0.42530912628779288</v>
      </c>
      <c r="AE92" s="31">
        <v>0.39375781707447999</v>
      </c>
      <c r="AF92" s="31">
        <v>0.36411980434661112</v>
      </c>
      <c r="AG92" s="31">
        <v>0.33742806963696009</v>
      </c>
      <c r="AH92" s="32">
        <v>0.31493948133214628</v>
      </c>
    </row>
    <row r="93" spans="1:34" x14ac:dyDescent="0.25">
      <c r="A93" s="30">
        <v>-58</v>
      </c>
      <c r="B93" s="31">
        <v>4.9874144746344484</v>
      </c>
      <c r="C93" s="31">
        <v>4.4066242809932898</v>
      </c>
      <c r="D93" s="31">
        <v>3.8902366308421179</v>
      </c>
      <c r="E93" s="31">
        <v>3.432994170832155</v>
      </c>
      <c r="F93" s="31">
        <v>3.0298634344683721</v>
      </c>
      <c r="G93" s="31">
        <v>2.6760348421094902</v>
      </c>
      <c r="H93" s="31">
        <v>2.3669227009679861</v>
      </c>
      <c r="I93" s="31">
        <v>2.0981652051100852</v>
      </c>
      <c r="J93" s="31">
        <v>1.8656244354557801</v>
      </c>
      <c r="K93" s="31">
        <v>1.6653863597788039</v>
      </c>
      <c r="L93" s="31">
        <v>1.4937608327066521</v>
      </c>
      <c r="M93" s="31">
        <v>1.3472815957205631</v>
      </c>
      <c r="N93" s="31">
        <v>1.222706277155545</v>
      </c>
      <c r="O93" s="31">
        <v>1.117016392200344</v>
      </c>
      <c r="P93" s="31">
        <v>1.0274173428974711</v>
      </c>
      <c r="Q93" s="31">
        <v>0.95133841814318865</v>
      </c>
      <c r="R93" s="31">
        <v>0.88643279368750294</v>
      </c>
      <c r="S93" s="31">
        <v>0.83057753213419061</v>
      </c>
      <c r="T93" s="31">
        <v>0.78187358294077391</v>
      </c>
      <c r="U93" s="31">
        <v>0.73864578241852119</v>
      </c>
      <c r="V93" s="31">
        <v>0.6994428537324604</v>
      </c>
      <c r="W93" s="31">
        <v>0.6630374069013909</v>
      </c>
      <c r="X93" s="31">
        <v>0.62842593879782516</v>
      </c>
      <c r="Y93" s="31">
        <v>0.59482883314807289</v>
      </c>
      <c r="Z93" s="31">
        <v>0.56169036053217725</v>
      </c>
      <c r="AA93" s="31">
        <v>0.52867867838391902</v>
      </c>
      <c r="AB93" s="31">
        <v>0.49568583099087821</v>
      </c>
      <c r="AC93" s="31">
        <v>0.46282774949433941</v>
      </c>
      <c r="AD93" s="31">
        <v>0.4304442518893658</v>
      </c>
      <c r="AE93" s="31">
        <v>0.39909904302477639</v>
      </c>
      <c r="AF93" s="31">
        <v>0.36957971460314448</v>
      </c>
      <c r="AG93" s="31">
        <v>0.34289774518074623</v>
      </c>
      <c r="AH93" s="32">
        <v>0.32028850016773103</v>
      </c>
    </row>
    <row r="94" spans="1:34" x14ac:dyDescent="0.25">
      <c r="A94" s="30">
        <v>-51</v>
      </c>
      <c r="B94" s="31">
        <v>5.0478433461064594</v>
      </c>
      <c r="C94" s="31">
        <v>4.459903781895413</v>
      </c>
      <c r="D94" s="31">
        <v>3.9369698156562158</v>
      </c>
      <c r="E94" s="31">
        <v>3.4737590072341891</v>
      </c>
      <c r="F94" s="31">
        <v>3.065212803328401</v>
      </c>
      <c r="G94" s="31">
        <v>2.7064965374916872</v>
      </c>
      <c r="H94" s="31">
        <v>2.3929994301306232</v>
      </c>
      <c r="I94" s="31">
        <v>2.1203345885055449</v>
      </c>
      <c r="J94" s="31">
        <v>1.884339006730549</v>
      </c>
      <c r="K94" s="31">
        <v>1.6810735657734719</v>
      </c>
      <c r="L94" s="31">
        <v>1.506823033455915</v>
      </c>
      <c r="M94" s="31">
        <v>1.358096064453223</v>
      </c>
      <c r="N94" s="31">
        <v>1.2316252002945069</v>
      </c>
      <c r="O94" s="31">
        <v>1.124366869362623</v>
      </c>
      <c r="P94" s="31">
        <v>1.033501386894184</v>
      </c>
      <c r="Q94" s="31">
        <v>0.95643295497955505</v>
      </c>
      <c r="R94" s="31">
        <v>0.89078966256285386</v>
      </c>
      <c r="S94" s="31">
        <v>0.83442348544195732</v>
      </c>
      <c r="T94" s="31">
        <v>0.7854102862684994</v>
      </c>
      <c r="U94" s="31">
        <v>0.74204981454783858</v>
      </c>
      <c r="V94" s="31">
        <v>0.70286570663912429</v>
      </c>
      <c r="W94" s="31">
        <v>0.66660548575525591</v>
      </c>
      <c r="X94" s="31">
        <v>0.63224056196285783</v>
      </c>
      <c r="Y94" s="31">
        <v>0.59896623218232747</v>
      </c>
      <c r="Z94" s="31">
        <v>0.56620168018782568</v>
      </c>
      <c r="AA94" s="31">
        <v>0.53358997660724217</v>
      </c>
      <c r="AB94" s="31">
        <v>0.50099807892224735</v>
      </c>
      <c r="AC94" s="31">
        <v>0.46851683146823919</v>
      </c>
      <c r="AD94" s="31">
        <v>0.43646096543439572</v>
      </c>
      <c r="AE94" s="31">
        <v>0.40536909886362338</v>
      </c>
      <c r="AF94" s="31">
        <v>0.37600373665262399</v>
      </c>
      <c r="AG94" s="31">
        <v>0.34935127055175391</v>
      </c>
      <c r="AH94" s="32">
        <v>0.32662197916527802</v>
      </c>
    </row>
    <row r="95" spans="1:34" x14ac:dyDescent="0.25">
      <c r="A95" s="30">
        <v>-45</v>
      </c>
      <c r="B95" s="31">
        <v>5.1002689259382263</v>
      </c>
      <c r="C95" s="31">
        <v>4.5061493881427648</v>
      </c>
      <c r="D95" s="31">
        <v>3.9775545887033519</v>
      </c>
      <c r="E95" s="31">
        <v>3.5091805844888202</v>
      </c>
      <c r="F95" s="31">
        <v>3.0959473192217688</v>
      </c>
      <c r="G95" s="31">
        <v>2.7329986234785451</v>
      </c>
      <c r="H95" s="31">
        <v>2.4157022146892491</v>
      </c>
      <c r="I95" s="31">
        <v>2.1396496971377328</v>
      </c>
      <c r="J95" s="31">
        <v>1.900656561961604</v>
      </c>
      <c r="K95" s="31">
        <v>1.6947621871522309</v>
      </c>
      <c r="L95" s="31">
        <v>1.5182298375547281</v>
      </c>
      <c r="M95" s="31">
        <v>1.3675466648679571</v>
      </c>
      <c r="N95" s="31">
        <v>1.23942370764455</v>
      </c>
      <c r="O95" s="31">
        <v>1.130795891290886</v>
      </c>
      <c r="P95" s="31">
        <v>1.038822028067081</v>
      </c>
      <c r="Q95" s="31">
        <v>0.96088481708703555</v>
      </c>
      <c r="R95" s="31">
        <v>0.89459084431837832</v>
      </c>
      <c r="S95" s="31">
        <v>0.83777058258250658</v>
      </c>
      <c r="T95" s="31">
        <v>0.78847839155457322</v>
      </c>
      <c r="U95" s="31">
        <v>0.74499251776346143</v>
      </c>
      <c r="V95" s="31">
        <v>0.70581509459182268</v>
      </c>
      <c r="W95" s="31">
        <v>0.66967214227609861</v>
      </c>
      <c r="X95" s="31">
        <v>0.63551356790640579</v>
      </c>
      <c r="Y95" s="31">
        <v>0.60251316542668742</v>
      </c>
      <c r="Z95" s="31">
        <v>0.57006861563460898</v>
      </c>
      <c r="AA95" s="31">
        <v>0.5378014861815642</v>
      </c>
      <c r="AB95" s="31">
        <v>0.50555723157277643</v>
      </c>
      <c r="AC95" s="31">
        <v>0.47340519316713509</v>
      </c>
      <c r="AD95" s="31">
        <v>0.44163859917734882</v>
      </c>
      <c r="AE95" s="31">
        <v>0.41077456466985751</v>
      </c>
      <c r="AF95" s="31">
        <v>0.38155409156481918</v>
      </c>
      <c r="AG95" s="31">
        <v>0.35494206863619843</v>
      </c>
      <c r="AH95" s="32">
        <v>0.33212727151171612</v>
      </c>
    </row>
    <row r="96" spans="1:34" x14ac:dyDescent="0.25">
      <c r="A96" s="30">
        <v>-39</v>
      </c>
      <c r="B96" s="31">
        <v>5.1532835950839431</v>
      </c>
      <c r="C96" s="31">
        <v>4.5529357972451354</v>
      </c>
      <c r="D96" s="31">
        <v>4.0186339426474431</v>
      </c>
      <c r="E96" s="31">
        <v>3.5450525851832189</v>
      </c>
      <c r="F96" s="31">
        <v>3.1270901655985899</v>
      </c>
      <c r="G96" s="31">
        <v>2.7598690114934108</v>
      </c>
      <c r="H96" s="31">
        <v>2.4387353373213059</v>
      </c>
      <c r="I96" s="31">
        <v>2.159259244389645</v>
      </c>
      <c r="J96" s="31">
        <v>1.9172347208595559</v>
      </c>
      <c r="K96" s="31">
        <v>1.7086796417459189</v>
      </c>
      <c r="L96" s="31">
        <v>1.529835768917378</v>
      </c>
      <c r="M96" s="31">
        <v>1.3771687510963051</v>
      </c>
      <c r="N96" s="31">
        <v>1.247368123858855</v>
      </c>
      <c r="O96" s="31">
        <v>1.1373473096349209</v>
      </c>
      <c r="P96" s="31">
        <v>1.0442436177081451</v>
      </c>
      <c r="Q96" s="31">
        <v>0.96541824421594291</v>
      </c>
      <c r="R96" s="31">
        <v>0.89845627214946644</v>
      </c>
      <c r="S96" s="31">
        <v>0.84116667135361767</v>
      </c>
      <c r="T96" s="31">
        <v>0.7915822985270885</v>
      </c>
      <c r="U96" s="31">
        <v>0.74795989722226319</v>
      </c>
      <c r="V96" s="31">
        <v>0.70878009784532381</v>
      </c>
      <c r="W96" s="31">
        <v>0.67274741765621748</v>
      </c>
      <c r="X96" s="31">
        <v>0.63879026076859902</v>
      </c>
      <c r="Y96" s="31">
        <v>0.60606091814990914</v>
      </c>
      <c r="Z96" s="31">
        <v>0.57393556762134779</v>
      </c>
      <c r="AA96" s="31">
        <v>0.54201427385783074</v>
      </c>
      <c r="AB96" s="31">
        <v>0.51012098838807407</v>
      </c>
      <c r="AC96" s="31">
        <v>0.47830354959451621</v>
      </c>
      <c r="AD96" s="31">
        <v>0.44683368271336832</v>
      </c>
      <c r="AE96" s="31">
        <v>0.41620699983457882</v>
      </c>
      <c r="AF96" s="31">
        <v>0.38714299990187229</v>
      </c>
      <c r="AG96" s="31">
        <v>0.36058506871266272</v>
      </c>
      <c r="AH96" s="32">
        <v>0.33770047891824723</v>
      </c>
    </row>
    <row r="97" spans="1:34" x14ac:dyDescent="0.25">
      <c r="A97" s="30">
        <v>-33</v>
      </c>
      <c r="B97" s="31">
        <v>5.2068950803765466</v>
      </c>
      <c r="C97" s="31">
        <v>4.600270413641792</v>
      </c>
      <c r="D97" s="31">
        <v>4.0602149595340924</v>
      </c>
      <c r="E97" s="31">
        <v>3.581381768969329</v>
      </c>
      <c r="F97" s="31">
        <v>3.1586477797171311</v>
      </c>
      <c r="G97" s="31">
        <v>2.7871138164008809</v>
      </c>
      <c r="H97" s="31">
        <v>2.462104590497725</v>
      </c>
      <c r="I97" s="31">
        <v>2.1791687003385429</v>
      </c>
      <c r="J97" s="31">
        <v>1.9340786311079889</v>
      </c>
      <c r="K97" s="31">
        <v>1.722830754844461</v>
      </c>
      <c r="L97" s="31">
        <v>1.5416453304401161</v>
      </c>
      <c r="M97" s="31">
        <v>1.3869665036408521</v>
      </c>
      <c r="N97" s="31">
        <v>1.255462307046342</v>
      </c>
      <c r="O97" s="31">
        <v>1.144024660109987</v>
      </c>
      <c r="P97" s="31">
        <v>1.0497693691389669</v>
      </c>
      <c r="Q97" s="31">
        <v>0.97003612729419741</v>
      </c>
      <c r="R97" s="31">
        <v>0.9023885145903574</v>
      </c>
      <c r="S97" s="31">
        <v>0.84461399789587932</v>
      </c>
      <c r="T97" s="31">
        <v>0.79472393093294269</v>
      </c>
      <c r="U97" s="31">
        <v>0.75095355427748878</v>
      </c>
      <c r="V97" s="31">
        <v>0.71176199535918983</v>
      </c>
      <c r="W97" s="31">
        <v>0.67583226846152211</v>
      </c>
      <c r="X97" s="31">
        <v>0.64207127472166381</v>
      </c>
      <c r="Y97" s="31">
        <v>0.60960980213056726</v>
      </c>
      <c r="Z97" s="31">
        <v>0.57780252553294886</v>
      </c>
      <c r="AA97" s="31">
        <v>0.54622800662725624</v>
      </c>
      <c r="AB97" s="31">
        <v>0.51468869396571482</v>
      </c>
      <c r="AC97" s="31">
        <v>0.48321092295427631</v>
      </c>
      <c r="AD97" s="31">
        <v>0.45204491585267442</v>
      </c>
      <c r="AE97" s="31">
        <v>0.4216647817743821</v>
      </c>
      <c r="AF97" s="31">
        <v>0.39276851668663332</v>
      </c>
      <c r="AG97" s="31">
        <v>0.36627800341038252</v>
      </c>
      <c r="AH97" s="32">
        <v>0.3433390116204188</v>
      </c>
    </row>
    <row r="98" spans="1:34" x14ac:dyDescent="0.25">
      <c r="A98" s="30">
        <v>-26</v>
      </c>
      <c r="B98" s="31">
        <v>5.2702065008865713</v>
      </c>
      <c r="C98" s="31">
        <v>4.6561969541441934</v>
      </c>
      <c r="D98" s="31">
        <v>4.1093697102788473</v>
      </c>
      <c r="E98" s="31">
        <v>3.6243527334005159</v>
      </c>
      <c r="F98" s="31">
        <v>3.1959978744729418</v>
      </c>
      <c r="G98" s="31">
        <v>2.819380871313605</v>
      </c>
      <c r="H98" s="31">
        <v>2.489801348593756</v>
      </c>
      <c r="I98" s="31">
        <v>2.202782817838389</v>
      </c>
      <c r="J98" s="31">
        <v>1.954072677426256</v>
      </c>
      <c r="K98" s="31">
        <v>1.739642212589857</v>
      </c>
      <c r="L98" s="31">
        <v>1.5556865954154611</v>
      </c>
      <c r="M98" s="31">
        <v>1.398624884843072</v>
      </c>
      <c r="N98" s="31">
        <v>1.2651000266664609</v>
      </c>
      <c r="O98" s="31">
        <v>1.151978853533149</v>
      </c>
      <c r="P98" s="31">
        <v>1.056352084944397</v>
      </c>
      <c r="Q98" s="31">
        <v>0.97553432725524858</v>
      </c>
      <c r="R98" s="31">
        <v>0.90706407367447972</v>
      </c>
      <c r="S98" s="31">
        <v>0.8487037042646165</v>
      </c>
      <c r="T98" s="31">
        <v>0.798439485941972</v>
      </c>
      <c r="U98" s="31">
        <v>0.754481572476558</v>
      </c>
      <c r="V98" s="31">
        <v>0.71526400449218208</v>
      </c>
      <c r="W98" s="31">
        <v>0.67944470946640445</v>
      </c>
      <c r="X98" s="31">
        <v>0.64590550173051409</v>
      </c>
      <c r="Y98" s="31">
        <v>0.6137520824695829</v>
      </c>
      <c r="Z98" s="31">
        <v>0.58231403972241935</v>
      </c>
      <c r="AA98" s="31">
        <v>0.55114484838156319</v>
      </c>
      <c r="AB98" s="31">
        <v>0.52002187019337853</v>
      </c>
      <c r="AC98" s="31">
        <v>0.48894635375789081</v>
      </c>
      <c r="AD98" s="31">
        <v>0.45814343452896361</v>
      </c>
      <c r="AE98" s="31">
        <v>0.42806213481416577</v>
      </c>
      <c r="AF98" s="31">
        <v>0.39937536377481198</v>
      </c>
      <c r="AG98" s="31">
        <v>0.37297991742600439</v>
      </c>
      <c r="AH98" s="32">
        <v>0.34999647863660499</v>
      </c>
    </row>
    <row r="99" spans="1:34" x14ac:dyDescent="0.25">
      <c r="A99" s="30">
        <v>-20</v>
      </c>
      <c r="B99" s="31">
        <v>5.3251378350435488</v>
      </c>
      <c r="C99" s="31">
        <v>4.7047449942352069</v>
      </c>
      <c r="D99" s="31">
        <v>4.1520621987750559</v>
      </c>
      <c r="E99" s="31">
        <v>3.6616959097965989</v>
      </c>
      <c r="F99" s="31">
        <v>3.2284764752870951</v>
      </c>
      <c r="G99" s="31">
        <v>2.8474581300875501</v>
      </c>
      <c r="H99" s="31">
        <v>2.5139189958927268</v>
      </c>
      <c r="I99" s="31">
        <v>2.2233610812511388</v>
      </c>
      <c r="J99" s="31">
        <v>1.9715102815650569</v>
      </c>
      <c r="K99" s="31">
        <v>1.754316379090509</v>
      </c>
      <c r="L99" s="31">
        <v>1.5679530429372699</v>
      </c>
      <c r="M99" s="31">
        <v>1.408817829068868</v>
      </c>
      <c r="N99" s="31">
        <v>1.273532180302593</v>
      </c>
      <c r="O99" s="31">
        <v>1.158941426309481</v>
      </c>
      <c r="P99" s="31">
        <v>1.062114783614323</v>
      </c>
      <c r="Q99" s="31">
        <v>0.98034535559566638</v>
      </c>
      <c r="R99" s="31">
        <v>0.91115013248581533</v>
      </c>
      <c r="S99" s="31">
        <v>0.85226999137081505</v>
      </c>
      <c r="T99" s="31">
        <v>0.80166969619048778</v>
      </c>
      <c r="U99" s="31">
        <v>0.75753789773837243</v>
      </c>
      <c r="V99" s="31">
        <v>0.71828713366179897</v>
      </c>
      <c r="W99" s="31">
        <v>0.68255382846184964</v>
      </c>
      <c r="X99" s="31">
        <v>0.64919829349330971</v>
      </c>
      <c r="Y99" s="31">
        <v>0.61730472696478955</v>
      </c>
      <c r="Z99" s="31">
        <v>0.58618121393861256</v>
      </c>
      <c r="AA99" s="31">
        <v>0.55535972633082575</v>
      </c>
      <c r="AB99" s="31">
        <v>0.52459612291133151</v>
      </c>
      <c r="AC99" s="31">
        <v>0.49387014930367268</v>
      </c>
      <c r="AD99" s="31">
        <v>0.46338543798520587</v>
      </c>
      <c r="AE99" s="31">
        <v>0.4335695082870431</v>
      </c>
      <c r="AF99" s="31">
        <v>0.40507376639402892</v>
      </c>
      <c r="AG99" s="31">
        <v>0.37877350534473558</v>
      </c>
      <c r="AH99" s="32">
        <v>0.35576790503158762</v>
      </c>
    </row>
    <row r="100" spans="1:34" x14ac:dyDescent="0.25">
      <c r="A100" s="30">
        <v>-14</v>
      </c>
      <c r="B100" s="31">
        <v>5.3806907857975741</v>
      </c>
      <c r="C100" s="31">
        <v>4.7538650211573801</v>
      </c>
      <c r="D100" s="31">
        <v>4.1952791088374157</v>
      </c>
      <c r="E100" s="31">
        <v>3.6995180069946918</v>
      </c>
      <c r="F100" s="31">
        <v>3.26139056063999</v>
      </c>
      <c r="G100" s="31">
        <v>2.875929501637835</v>
      </c>
      <c r="H100" s="31">
        <v>2.5383914487065091</v>
      </c>
      <c r="I100" s="31">
        <v>2.2442569074180421</v>
      </c>
      <c r="J100" s="31">
        <v>1.9892302701982281</v>
      </c>
      <c r="K100" s="31">
        <v>1.769239816326609</v>
      </c>
      <c r="L100" s="31">
        <v>1.580437711936485</v>
      </c>
      <c r="M100" s="31">
        <v>1.4192000100148909</v>
      </c>
      <c r="N100" s="31">
        <v>1.2821266504026489</v>
      </c>
      <c r="O100" s="31">
        <v>1.166041459794305</v>
      </c>
      <c r="P100" s="31">
        <v>1.067992151738173</v>
      </c>
      <c r="Q100" s="31">
        <v>0.98525032663631917</v>
      </c>
      <c r="R100" s="31">
        <v>0.91531147174456651</v>
      </c>
      <c r="S100" s="31">
        <v>0.85589496117247343</v>
      </c>
      <c r="T100" s="31">
        <v>0.80494405588338591</v>
      </c>
      <c r="U100" s="31">
        <v>0.760625903694373</v>
      </c>
      <c r="V100" s="31">
        <v>0.72133153927625404</v>
      </c>
      <c r="W100" s="31">
        <v>0.68567588415365566</v>
      </c>
      <c r="X100" s="31">
        <v>0.65249774670487404</v>
      </c>
      <c r="Y100" s="31">
        <v>0.6208598221620375</v>
      </c>
      <c r="Z100" s="31">
        <v>0.59004869261097947</v>
      </c>
      <c r="AA100" s="31">
        <v>0.55957482699130356</v>
      </c>
      <c r="AB100" s="31">
        <v>0.52917258109636633</v>
      </c>
      <c r="AC100" s="31">
        <v>0.4988001975732867</v>
      </c>
      <c r="AD100" s="31">
        <v>0.4686398059229297</v>
      </c>
      <c r="AE100" s="31">
        <v>0.43909742249989853</v>
      </c>
      <c r="AF100" s="31">
        <v>0.41080295051256499</v>
      </c>
      <c r="AG100" s="31">
        <v>0.38461018002304209</v>
      </c>
      <c r="AH100" s="32">
        <v>0.36159678794725991</v>
      </c>
    </row>
    <row r="101" spans="1:34" x14ac:dyDescent="0.25">
      <c r="A101" s="30">
        <v>-8</v>
      </c>
      <c r="B101" s="31">
        <v>5.4368732897579157</v>
      </c>
      <c r="C101" s="31">
        <v>4.8035646491263222</v>
      </c>
      <c r="D101" s="31">
        <v>4.2390277322878598</v>
      </c>
      <c r="E101" s="31">
        <v>3.7378259944230598</v>
      </c>
      <c r="F101" s="31">
        <v>3.2947467775662198</v>
      </c>
      <c r="G101" s="31">
        <v>2.9048013106053889</v>
      </c>
      <c r="H101" s="31">
        <v>2.5632247092823621</v>
      </c>
      <c r="I101" s="31">
        <v>2.2654759761926919</v>
      </c>
      <c r="J101" s="31">
        <v>2.0072380007856898</v>
      </c>
      <c r="K101" s="31">
        <v>1.784417559364414</v>
      </c>
      <c r="L101" s="31">
        <v>1.593145315085686</v>
      </c>
      <c r="M101" s="31">
        <v>1.4297758179600639</v>
      </c>
      <c r="N101" s="31">
        <v>1.2908875048518791</v>
      </c>
      <c r="O101" s="31">
        <v>1.1732826994792021</v>
      </c>
      <c r="P101" s="31">
        <v>1.073987612413863</v>
      </c>
      <c r="Q101" s="31">
        <v>0.99025234108145621</v>
      </c>
      <c r="R101" s="31">
        <v>0.9195508697613044</v>
      </c>
      <c r="S101" s="31">
        <v>0.85958106958650815</v>
      </c>
      <c r="T101" s="31">
        <v>0.80826469854391347</v>
      </c>
      <c r="U101" s="31">
        <v>0.7637474014741088</v>
      </c>
      <c r="V101" s="31">
        <v>0.72439871007145129</v>
      </c>
      <c r="W101" s="31">
        <v>0.68881204288406273</v>
      </c>
      <c r="X101" s="31">
        <v>0.65580470531377699</v>
      </c>
      <c r="Y101" s="31">
        <v>0.62441788961623068</v>
      </c>
      <c r="Z101" s="31">
        <v>0.5939166749007736</v>
      </c>
      <c r="AA101" s="31">
        <v>0.56379002713053883</v>
      </c>
      <c r="AB101" s="31">
        <v>0.53375079912239787</v>
      </c>
      <c r="AC101" s="31">
        <v>0.50373573054697462</v>
      </c>
      <c r="AD101" s="31">
        <v>0.47390544792866152</v>
      </c>
      <c r="AE101" s="31">
        <v>0.44464446464559881</v>
      </c>
      <c r="AF101" s="31">
        <v>0.41656118092965871</v>
      </c>
      <c r="AG101" s="31">
        <v>0.3904878838664807</v>
      </c>
      <c r="AH101" s="32">
        <v>0.36748074739550057</v>
      </c>
    </row>
    <row r="102" spans="1:34" x14ac:dyDescent="0.25">
      <c r="A102" s="30">
        <v>-1</v>
      </c>
      <c r="B102" s="31">
        <v>5.5032258879162654</v>
      </c>
      <c r="C102" s="31">
        <v>4.8622903278749563</v>
      </c>
      <c r="D102" s="31">
        <v>4.2907496176448676</v>
      </c>
      <c r="E102" s="31">
        <v>3.7831421256006532</v>
      </c>
      <c r="F102" s="31">
        <v>3.334230106970705</v>
      </c>
      <c r="G102" s="31">
        <v>2.938999703837176</v>
      </c>
      <c r="H102" s="31">
        <v>2.592660945135969</v>
      </c>
      <c r="I102" s="31">
        <v>2.2906477466567479</v>
      </c>
      <c r="J102" s="31">
        <v>2.0286179110429221</v>
      </c>
      <c r="K102" s="31">
        <v>1.802453127791656</v>
      </c>
      <c r="L102" s="31">
        <v>1.608258973253877</v>
      </c>
      <c r="M102" s="31">
        <v>1.4423649106342491</v>
      </c>
      <c r="N102" s="31">
        <v>1.301324289991205</v>
      </c>
      <c r="O102" s="31">
        <v>1.181914348236931</v>
      </c>
      <c r="P102" s="31">
        <v>1.081136209137358</v>
      </c>
      <c r="Q102" s="31">
        <v>0.99621488331217578</v>
      </c>
      <c r="R102" s="31">
        <v>0.92459926823482053</v>
      </c>
      <c r="S102" s="31">
        <v>0.8639621482324974</v>
      </c>
      <c r="T102" s="31">
        <v>0.81220019448615755</v>
      </c>
      <c r="U102" s="31">
        <v>0.76743396503050143</v>
      </c>
      <c r="V102" s="31">
        <v>0.72800790475397481</v>
      </c>
      <c r="W102" s="31">
        <v>0.69249034539881216</v>
      </c>
      <c r="X102" s="31">
        <v>0.65967350556096704</v>
      </c>
      <c r="Y102" s="31">
        <v>0.62857349069016166</v>
      </c>
      <c r="Z102" s="31">
        <v>0.59843029308986406</v>
      </c>
      <c r="AA102" s="31">
        <v>0.56870779191729437</v>
      </c>
      <c r="AB102" s="31">
        <v>0.53909375318345099</v>
      </c>
      <c r="AC102" s="31">
        <v>0.50949982975306629</v>
      </c>
      <c r="AD102" s="31">
        <v>0.48006156134460198</v>
      </c>
      <c r="AE102" s="31">
        <v>0.45113837453033068</v>
      </c>
      <c r="AF102" s="31">
        <v>0.42331358273623831</v>
      </c>
      <c r="AG102" s="31">
        <v>0.39739438624204843</v>
      </c>
      <c r="AH102" s="32">
        <v>0.3744118721813231</v>
      </c>
    </row>
    <row r="103" spans="1:34" x14ac:dyDescent="0.25">
      <c r="A103" s="30">
        <v>5</v>
      </c>
      <c r="B103" s="31">
        <v>5.560799890685745</v>
      </c>
      <c r="C103" s="31">
        <v>4.9132721189846187</v>
      </c>
      <c r="D103" s="31">
        <v>4.3356755416528374</v>
      </c>
      <c r="E103" s="31">
        <v>3.8225270240885649</v>
      </c>
      <c r="F103" s="31">
        <v>3.368567318543723</v>
      </c>
      <c r="G103" s="31">
        <v>2.9687610641239779</v>
      </c>
      <c r="H103" s="31">
        <v>2.6182967867887581</v>
      </c>
      <c r="I103" s="31">
        <v>2.3125868993512291</v>
      </c>
      <c r="J103" s="31">
        <v>2.0472677014783329</v>
      </c>
      <c r="K103" s="31">
        <v>1.818199379690755</v>
      </c>
      <c r="L103" s="31">
        <v>1.621466007362933</v>
      </c>
      <c r="M103" s="31">
        <v>1.453375544723057</v>
      </c>
      <c r="N103" s="31">
        <v>1.3104598388530759</v>
      </c>
      <c r="O103" s="31">
        <v>1.1894746236886891</v>
      </c>
      <c r="P103" s="31">
        <v>1.0873995200193449</v>
      </c>
      <c r="Q103" s="31">
        <v>1.001438035488265</v>
      </c>
      <c r="R103" s="31">
        <v>0.9290175645924017</v>
      </c>
      <c r="S103" s="31">
        <v>0.86778938868246569</v>
      </c>
      <c r="T103" s="31">
        <v>0.81562867596294242</v>
      </c>
      <c r="U103" s="31">
        <v>0.77063448149203839</v>
      </c>
      <c r="V103" s="31">
        <v>0.7311297471817253</v>
      </c>
      <c r="W103" s="31">
        <v>0.69566130179776642</v>
      </c>
      <c r="X103" s="31">
        <v>0.66299986095960761</v>
      </c>
      <c r="Y103" s="31">
        <v>0.63214002714050987</v>
      </c>
      <c r="Z103" s="31">
        <v>0.60230028966745419</v>
      </c>
      <c r="AA103" s="31">
        <v>0.57292302472118639</v>
      </c>
      <c r="AB103" s="31">
        <v>0.54367449533622281</v>
      </c>
      <c r="AC103" s="31">
        <v>0.51444485140079088</v>
      </c>
      <c r="AD103" s="31">
        <v>0.48534812965690932</v>
      </c>
      <c r="AE103" s="31">
        <v>0.4567222537003488</v>
      </c>
      <c r="AF103" s="31">
        <v>0.42912903398060459</v>
      </c>
      <c r="AG103" s="31">
        <v>0.40335416780093059</v>
      </c>
      <c r="AH103" s="32">
        <v>0.38040723931841208</v>
      </c>
    </row>
    <row r="104" spans="1:34" x14ac:dyDescent="0.25">
      <c r="A104" s="30">
        <v>11</v>
      </c>
      <c r="B104" s="31">
        <v>5.6190289114034098</v>
      </c>
      <c r="C104" s="31">
        <v>4.9648579549696263</v>
      </c>
      <c r="D104" s="31">
        <v>4.3811566019641859</v>
      </c>
      <c r="E104" s="31">
        <v>3.8624202148087661</v>
      </c>
      <c r="F104" s="31">
        <v>3.4033680427788049</v>
      </c>
      <c r="G104" s="31">
        <v>2.9989432220034908</v>
      </c>
      <c r="H104" s="31">
        <v>2.644312775465766</v>
      </c>
      <c r="I104" s="31">
        <v>2.3348676130023249</v>
      </c>
      <c r="J104" s="31">
        <v>2.0662225313036222</v>
      </c>
      <c r="K104" s="31">
        <v>1.8342162139138589</v>
      </c>
      <c r="L104" s="31">
        <v>1.634911231230997</v>
      </c>
      <c r="M104" s="31">
        <v>1.464594040506739</v>
      </c>
      <c r="N104" s="31">
        <v>1.3197749858465591</v>
      </c>
      <c r="O104" s="31">
        <v>1.1971882982096731</v>
      </c>
      <c r="P104" s="31">
        <v>1.0937920954090521</v>
      </c>
      <c r="Q104" s="31">
        <v>1.006768382111431</v>
      </c>
      <c r="R104" s="31">
        <v>0.9335230498372783</v>
      </c>
      <c r="S104" s="31">
        <v>0.87168587696083366</v>
      </c>
      <c r="T104" s="31">
        <v>0.8191105287100926</v>
      </c>
      <c r="U104" s="31">
        <v>0.77387455716678055</v>
      </c>
      <c r="V104" s="31">
        <v>0.73427940126639513</v>
      </c>
      <c r="W104" s="31">
        <v>0.69885038679820699</v>
      </c>
      <c r="X104" s="31">
        <v>0.66633672640519148</v>
      </c>
      <c r="Y104" s="31">
        <v>0.63571151958412941</v>
      </c>
      <c r="Z104" s="31">
        <v>0.60617175268550483</v>
      </c>
      <c r="AA104" s="31">
        <v>0.57713829891360469</v>
      </c>
      <c r="AB104" s="31">
        <v>0.54825591832643805</v>
      </c>
      <c r="AC104" s="31">
        <v>0.51939325783577317</v>
      </c>
      <c r="AD104" s="31">
        <v>0.49064285120713452</v>
      </c>
      <c r="AE104" s="31">
        <v>0.46232111905982282</v>
      </c>
      <c r="AF104" s="31">
        <v>0.43496836886685147</v>
      </c>
      <c r="AG104" s="31">
        <v>0.40934879495496912</v>
      </c>
      <c r="AH104" s="32">
        <v>0.38645047850481618</v>
      </c>
    </row>
    <row r="105" spans="1:34" x14ac:dyDescent="0.25">
      <c r="A105" s="30">
        <v>18</v>
      </c>
      <c r="B105" s="31">
        <v>5.687801509745956</v>
      </c>
      <c r="C105" s="31">
        <v>5.0258153167167006</v>
      </c>
      <c r="D105" s="31">
        <v>4.4349294803176624</v>
      </c>
      <c r="E105" s="31">
        <v>3.909614276164616</v>
      </c>
      <c r="F105" s="31">
        <v>3.4445638667271079</v>
      </c>
      <c r="G105" s="31">
        <v>3.034696301328434</v>
      </c>
      <c r="H105" s="31">
        <v>2.675153516145643</v>
      </c>
      <c r="I105" s="31">
        <v>2.361301334209533</v>
      </c>
      <c r="J105" s="31">
        <v>2.0887294654046609</v>
      </c>
      <c r="K105" s="31">
        <v>1.8532515064693349</v>
      </c>
      <c r="L105" s="31">
        <v>1.6509049409956209</v>
      </c>
      <c r="M105" s="31">
        <v>1.477951139429331</v>
      </c>
      <c r="N105" s="31">
        <v>1.33087535907004</v>
      </c>
      <c r="O105" s="31">
        <v>1.206386744071076</v>
      </c>
      <c r="P105" s="31">
        <v>1.1014183254394989</v>
      </c>
      <c r="Q105" s="31">
        <v>1.0131270210361689</v>
      </c>
      <c r="R105" s="31">
        <v>0.9388936355756472</v>
      </c>
      <c r="S105" s="31">
        <v>0.87632286062628073</v>
      </c>
      <c r="T105" s="31">
        <v>0.82324327461016888</v>
      </c>
      <c r="U105" s="31">
        <v>0.7777073428031579</v>
      </c>
      <c r="V105" s="31">
        <v>0.73799141733482565</v>
      </c>
      <c r="W105" s="31">
        <v>0.70259573718856605</v>
      </c>
      <c r="X105" s="31">
        <v>0.67024442820145869</v>
      </c>
      <c r="Y105" s="31">
        <v>0.63988550306436853</v>
      </c>
      <c r="Z105" s="31">
        <v>0.61069086132193107</v>
      </c>
      <c r="AA105" s="31">
        <v>0.58205628937247234</v>
      </c>
      <c r="AB105" s="31">
        <v>0.55360146046816383</v>
      </c>
      <c r="AC105" s="31">
        <v>0.52516993471485862</v>
      </c>
      <c r="AD105" s="31">
        <v>0.49682915907218123</v>
      </c>
      <c r="AE105" s="31">
        <v>0.46887046735354698</v>
      </c>
      <c r="AF105" s="31">
        <v>0.44180908022605458</v>
      </c>
      <c r="AG105" s="31">
        <v>0.41638410521060021</v>
      </c>
      <c r="AH105" s="32">
        <v>0.39355853668189072</v>
      </c>
    </row>
    <row r="106" spans="1:34" x14ac:dyDescent="0.25">
      <c r="A106" s="30">
        <v>24</v>
      </c>
      <c r="B106" s="31">
        <v>5.7474777498136236</v>
      </c>
      <c r="C106" s="31">
        <v>5.0787368244045146</v>
      </c>
      <c r="D106" s="31">
        <v>4.4816391377698306</v>
      </c>
      <c r="E106" s="31">
        <v>3.950633462548875</v>
      </c>
      <c r="F106" s="31">
        <v>3.4803924582347112</v>
      </c>
      <c r="G106" s="31">
        <v>3.0658126711741471</v>
      </c>
      <c r="H106" s="31">
        <v>2.7020145345677529</v>
      </c>
      <c r="I106" s="31">
        <v>2.3843423684698482</v>
      </c>
      <c r="J106" s="31">
        <v>2.1083643797885041</v>
      </c>
      <c r="K106" s="31">
        <v>1.869872662285553</v>
      </c>
      <c r="L106" s="31">
        <v>1.664883196576578</v>
      </c>
      <c r="M106" s="31">
        <v>1.4896358501309059</v>
      </c>
      <c r="N106" s="31">
        <v>1.340594377271636</v>
      </c>
      <c r="O106" s="31">
        <v>1.2144464191756079</v>
      </c>
      <c r="P106" s="31">
        <v>1.1081035038734151</v>
      </c>
      <c r="Q106" s="31">
        <v>1.018701046249415</v>
      </c>
      <c r="R106" s="31">
        <v>0.9435983480417085</v>
      </c>
      <c r="S106" s="31">
        <v>0.88037859784214811</v>
      </c>
      <c r="T106" s="31">
        <v>0.82684887109635585</v>
      </c>
      <c r="U106" s="31">
        <v>0.78104013010369477</v>
      </c>
      <c r="V106" s="31">
        <v>0.7412072240172688</v>
      </c>
      <c r="W106" s="31">
        <v>0.70582888884397554</v>
      </c>
      <c r="X106" s="31">
        <v>0.67360774744442686</v>
      </c>
      <c r="Y106" s="31">
        <v>0.64347030953300954</v>
      </c>
      <c r="Z106" s="31">
        <v>0.61456697167786167</v>
      </c>
      <c r="AA106" s="31">
        <v>0.58627201730084433</v>
      </c>
      <c r="AB106" s="31">
        <v>0.55818361667763305</v>
      </c>
      <c r="AC106" s="31">
        <v>0.53012382693762572</v>
      </c>
      <c r="AD106" s="31">
        <v>0.50213859206393607</v>
      </c>
      <c r="AE106" s="31">
        <v>0.47449774289350111</v>
      </c>
      <c r="AF106" s="31">
        <v>0.44769499711695471</v>
      </c>
      <c r="AG106" s="31">
        <v>0.42244795927870288</v>
      </c>
      <c r="AH106" s="32">
        <v>0.39969812077697842</v>
      </c>
    </row>
    <row r="107" spans="1:34" x14ac:dyDescent="0.25">
      <c r="A107" s="30">
        <v>30</v>
      </c>
      <c r="B107" s="31">
        <v>5.8078349774330231</v>
      </c>
      <c r="C107" s="31">
        <v>5.1322873256579413</v>
      </c>
      <c r="D107" s="31">
        <v>4.5289278593023683</v>
      </c>
      <c r="E107" s="31">
        <v>3.992183848029121</v>
      </c>
      <c r="F107" s="31">
        <v>3.5167064483547912</v>
      </c>
      <c r="G107" s="31">
        <v>3.0973707036497</v>
      </c>
      <c r="H107" s="31">
        <v>2.7292755441379382</v>
      </c>
      <c r="I107" s="31">
        <v>2.4077437868973401</v>
      </c>
      <c r="J107" s="31">
        <v>2.1283221358595021</v>
      </c>
      <c r="K107" s="31">
        <v>1.8867811818097711</v>
      </c>
      <c r="L107" s="31">
        <v>1.6791154023872521</v>
      </c>
      <c r="M107" s="31">
        <v>1.501543162084789</v>
      </c>
      <c r="N107" s="31">
        <v>1.3505067122489951</v>
      </c>
      <c r="O107" s="31">
        <v>1.2226721910802389</v>
      </c>
      <c r="P107" s="31">
        <v>1.1149296236326229</v>
      </c>
      <c r="Q107" s="31">
        <v>1.0243929218140271</v>
      </c>
      <c r="R107" s="31">
        <v>0.94839988438607159</v>
      </c>
      <c r="S107" s="31">
        <v>0.88451219696412786</v>
      </c>
      <c r="T107" s="31">
        <v>0.83051543201734102</v>
      </c>
      <c r="U107" s="31">
        <v>0.78441904886858449</v>
      </c>
      <c r="V107" s="31">
        <v>0.7444563936944818</v>
      </c>
      <c r="W107" s="31">
        <v>0.70908469952546238</v>
      </c>
      <c r="X107" s="31">
        <v>0.6769850862456348</v>
      </c>
      <c r="Y107" s="31">
        <v>0.64706256059292666</v>
      </c>
      <c r="Z107" s="31">
        <v>0.61844601615896766</v>
      </c>
      <c r="AA107" s="31">
        <v>0.59048823338917</v>
      </c>
      <c r="AB107" s="31">
        <v>0.56276587958272195</v>
      </c>
      <c r="AC107" s="31">
        <v>0.535079508892501</v>
      </c>
      <c r="AD107" s="31">
        <v>0.50745356232519589</v>
      </c>
      <c r="AE107" s="31">
        <v>0.4801363677412242</v>
      </c>
      <c r="AF107" s="31">
        <v>0.45360013985476039</v>
      </c>
      <c r="AG107" s="31">
        <v>0.42854098023371989</v>
      </c>
      <c r="AH107" s="32">
        <v>0.40587887729983052</v>
      </c>
    </row>
    <row r="108" spans="1:34" x14ac:dyDescent="0.25">
      <c r="A108" s="30">
        <v>36</v>
      </c>
      <c r="B108" s="31">
        <v>5.8688814984197579</v>
      </c>
      <c r="C108" s="31">
        <v>5.1864748038989124</v>
      </c>
      <c r="D108" s="31">
        <v>4.5768033059435282</v>
      </c>
      <c r="E108" s="31">
        <v>4.0342727712399507</v>
      </c>
      <c r="F108" s="31">
        <v>3.553512853328272</v>
      </c>
      <c r="G108" s="31">
        <v>3.1293770926023501</v>
      </c>
      <c r="H108" s="31">
        <v>2.7569429163097872</v>
      </c>
      <c r="I108" s="31">
        <v>2.431511638551934</v>
      </c>
      <c r="J108" s="31">
        <v>2.1486084602839082</v>
      </c>
      <c r="K108" s="31">
        <v>1.9039824693145779</v>
      </c>
      <c r="L108" s="31">
        <v>1.6936066403065591</v>
      </c>
      <c r="M108" s="31">
        <v>1.513677834776223</v>
      </c>
      <c r="N108" s="31">
        <v>1.3606168010936981</v>
      </c>
      <c r="O108" s="31">
        <v>1.2310681744828711</v>
      </c>
      <c r="P108" s="31">
        <v>1.1219004770213641</v>
      </c>
      <c r="Q108" s="31">
        <v>1.0302061176405759</v>
      </c>
      <c r="R108" s="31">
        <v>0.95330139212564613</v>
      </c>
      <c r="S108" s="31">
        <v>0.88872648311546265</v>
      </c>
      <c r="T108" s="31">
        <v>0.83424546010269662</v>
      </c>
      <c r="U108" s="31">
        <v>0.78784627943372476</v>
      </c>
      <c r="V108" s="31">
        <v>0.74774078430870883</v>
      </c>
      <c r="W108" s="31">
        <v>0.71236470478157787</v>
      </c>
      <c r="X108" s="31">
        <v>0.68037765775997971</v>
      </c>
      <c r="Y108" s="31">
        <v>0.65066314700533034</v>
      </c>
      <c r="Z108" s="31">
        <v>0.6223285631328217</v>
      </c>
      <c r="AA108" s="31">
        <v>0.59470518361135116</v>
      </c>
      <c r="AB108" s="31">
        <v>0.5673481727636247</v>
      </c>
      <c r="AC108" s="31">
        <v>0.54003658176605984</v>
      </c>
      <c r="AD108" s="31">
        <v>0.51277334864885282</v>
      </c>
      <c r="AE108" s="31">
        <v>0.48578529829594091</v>
      </c>
      <c r="AF108" s="31">
        <v>0.45952314244501818</v>
      </c>
      <c r="AG108" s="31">
        <v>0.43466147968750229</v>
      </c>
      <c r="AH108" s="32">
        <v>0.41209879546867612</v>
      </c>
    </row>
    <row r="109" spans="1:34" x14ac:dyDescent="0.25">
      <c r="A109" s="30">
        <v>43</v>
      </c>
      <c r="B109" s="31">
        <v>5.9409847805946203</v>
      </c>
      <c r="C109" s="31">
        <v>5.2505093173389481</v>
      </c>
      <c r="D109" s="31">
        <v>4.6334098396187251</v>
      </c>
      <c r="E109" s="31">
        <v>4.0840670273144042</v>
      </c>
      <c r="F109" s="31">
        <v>3.5970854471601892</v>
      </c>
      <c r="G109" s="31">
        <v>3.1672935527440349</v>
      </c>
      <c r="H109" s="31">
        <v>2.789743684507652</v>
      </c>
      <c r="I109" s="31">
        <v>2.4597120697464971</v>
      </c>
      <c r="J109" s="31">
        <v>2.1726988226097972</v>
      </c>
      <c r="K109" s="31">
        <v>1.924427944100515</v>
      </c>
      <c r="L109" s="31">
        <v>1.710847322075381</v>
      </c>
      <c r="M109" s="31">
        <v>1.528128731244869</v>
      </c>
      <c r="N109" s="31">
        <v>1.3726678331732141</v>
      </c>
      <c r="O109" s="31">
        <v>1.2410841762784011</v>
      </c>
      <c r="P109" s="31">
        <v>1.1302211958321671</v>
      </c>
      <c r="Q109" s="31">
        <v>1.0371462139600109</v>
      </c>
      <c r="R109" s="31">
        <v>0.95915043964118252</v>
      </c>
      <c r="S109" s="31">
        <v>0.89374896870866505</v>
      </c>
      <c r="T109" s="31">
        <v>0.83868078384923905</v>
      </c>
      <c r="U109" s="31">
        <v>0.79190875460339183</v>
      </c>
      <c r="V109" s="31">
        <v>0.75161963736538462</v>
      </c>
      <c r="W109" s="31">
        <v>0.71622407538325872</v>
      </c>
      <c r="X109" s="31">
        <v>0.68435659875876031</v>
      </c>
      <c r="Y109" s="31">
        <v>0.65487562444741532</v>
      </c>
      <c r="Z109" s="31">
        <v>0.6268634562585067</v>
      </c>
      <c r="AA109" s="31">
        <v>0.59962628485505409</v>
      </c>
      <c r="AB109" s="31">
        <v>0.57269418775387326</v>
      </c>
      <c r="AC109" s="31">
        <v>0.54582112932545912</v>
      </c>
      <c r="AD109" s="31">
        <v>0.51898496079413903</v>
      </c>
      <c r="AE109" s="31">
        <v>0.49238742023794668</v>
      </c>
      <c r="AF109" s="31">
        <v>0.4664541325886839</v>
      </c>
      <c r="AG109" s="31">
        <v>0.44183460963188298</v>
      </c>
      <c r="AH109" s="32">
        <v>0.41940225000688969</v>
      </c>
    </row>
    <row r="110" spans="1:34" x14ac:dyDescent="0.25">
      <c r="A110" s="30">
        <v>49</v>
      </c>
      <c r="B110" s="31">
        <v>6.0035535039888757</v>
      </c>
      <c r="C110" s="31">
        <v>5.3061045398418383</v>
      </c>
      <c r="D110" s="31">
        <v>4.6825830454614312</v>
      </c>
      <c r="E110" s="31">
        <v>4.1273481977516147</v>
      </c>
      <c r="F110" s="31">
        <v>3.6349830604701201</v>
      </c>
      <c r="G110" s="31">
        <v>3.2002945842284118</v>
      </c>
      <c r="H110" s="31">
        <v>2.8183136064917278</v>
      </c>
      <c r="I110" s="31">
        <v>2.4842948515790391</v>
      </c>
      <c r="J110" s="31">
        <v>2.193716930663089</v>
      </c>
      <c r="K110" s="31">
        <v>1.9422823417703681</v>
      </c>
      <c r="L110" s="31">
        <v>1.725917469781117</v>
      </c>
      <c r="M110" s="31">
        <v>1.5407725864293309</v>
      </c>
      <c r="N110" s="31">
        <v>1.383221850302764</v>
      </c>
      <c r="O110" s="31">
        <v>1.2498633068429219</v>
      </c>
      <c r="P110" s="31">
        <v>1.1375188883450591</v>
      </c>
      <c r="Q110" s="31">
        <v>1.0432344139581891</v>
      </c>
      <c r="R110" s="31">
        <v>0.96427958968507888</v>
      </c>
      <c r="S110" s="31">
        <v>0.89814800838224951</v>
      </c>
      <c r="T110" s="31">
        <v>0.84255714975998064</v>
      </c>
      <c r="U110" s="31">
        <v>0.7954483803822805</v>
      </c>
      <c r="V110" s="31">
        <v>0.7549869536669378</v>
      </c>
      <c r="W110" s="31">
        <v>0.71956200988550534</v>
      </c>
      <c r="X110" s="31">
        <v>0.68778657616324401</v>
      </c>
      <c r="Y110" s="31">
        <v>0.65849756647920876</v>
      </c>
      <c r="Z110" s="31">
        <v>0.63075578166621316</v>
      </c>
      <c r="AA110" s="31">
        <v>0.60384590941076333</v>
      </c>
      <c r="AB110" s="31">
        <v>0.57727652425320364</v>
      </c>
      <c r="AC110" s="31">
        <v>0.55078008758757757</v>
      </c>
      <c r="AD110" s="31">
        <v>0.52431294766168757</v>
      </c>
      <c r="AE110" s="31">
        <v>0.49805533957711751</v>
      </c>
      <c r="AF110" s="31">
        <v>0.47241138528918108</v>
      </c>
      <c r="AG110" s="31">
        <v>0.4480090936069025</v>
      </c>
      <c r="AH110" s="32">
        <v>0.42570036019320412</v>
      </c>
    </row>
    <row r="111" spans="1:34" x14ac:dyDescent="0.25">
      <c r="A111" s="30">
        <v>55</v>
      </c>
      <c r="B111" s="31">
        <v>6.0668381546457191</v>
      </c>
      <c r="C111" s="31">
        <v>5.362362352314249</v>
      </c>
      <c r="D111" s="31">
        <v>4.7323675684814477</v>
      </c>
      <c r="E111" s="31">
        <v>4.1711914770748084</v>
      </c>
      <c r="F111" s="31">
        <v>3.6733956388755682</v>
      </c>
      <c r="G111" s="31">
        <v>3.2337655015187199</v>
      </c>
      <c r="H111" s="31">
        <v>2.847310399493014</v>
      </c>
      <c r="I111" s="31">
        <v>2.5092635541409432</v>
      </c>
      <c r="J111" s="31">
        <v>2.2150820736587691</v>
      </c>
      <c r="K111" s="31">
        <v>1.960446953096497</v>
      </c>
      <c r="L111" s="31">
        <v>1.7412630743578981</v>
      </c>
      <c r="M111" s="31">
        <v>1.5536592062004719</v>
      </c>
      <c r="N111" s="31">
        <v>1.3939880042354971</v>
      </c>
      <c r="O111" s="31">
        <v>1.2588260109280049</v>
      </c>
      <c r="P111" s="31">
        <v>1.1449736555967529</v>
      </c>
      <c r="Q111" s="31">
        <v>1.049455254414293</v>
      </c>
      <c r="R111" s="31">
        <v>0.96951901040689825</v>
      </c>
      <c r="S111" s="31">
        <v>0.90263701345460434</v>
      </c>
      <c r="T111" s="31">
        <v>0.84650524029122032</v>
      </c>
      <c r="U111" s="31">
        <v>0.79904355450427555</v>
      </c>
      <c r="V111" s="31">
        <v>0.75839570653505906</v>
      </c>
      <c r="W111" s="31">
        <v>0.72292933367866419</v>
      </c>
      <c r="X111" s="31">
        <v>0.69123596008386112</v>
      </c>
      <c r="Y111" s="31">
        <v>0.66213099675322518</v>
      </c>
      <c r="Z111" s="31">
        <v>0.63465374154307419</v>
      </c>
      <c r="AA111" s="31">
        <v>0.60806737916345788</v>
      </c>
      <c r="AB111" s="31">
        <v>0.58185898117823243</v>
      </c>
      <c r="AC111" s="31">
        <v>0.55573950600494393</v>
      </c>
      <c r="AD111" s="31">
        <v>0.52964379891492908</v>
      </c>
      <c r="AE111" s="31">
        <v>0.50373059203329273</v>
      </c>
      <c r="AF111" s="31">
        <v>0.4783825043388355</v>
      </c>
      <c r="AG111" s="31">
        <v>0.45420604166416118</v>
      </c>
      <c r="AH111" s="32">
        <v>0.43203159669563712</v>
      </c>
    </row>
    <row r="112" spans="1:34" x14ac:dyDescent="0.25">
      <c r="A112" s="30">
        <v>61</v>
      </c>
      <c r="B112" s="31">
        <v>6.1308472481570746</v>
      </c>
      <c r="C112" s="31">
        <v>5.4192909479544298</v>
      </c>
      <c r="D112" s="31">
        <v>4.7827712794833683</v>
      </c>
      <c r="E112" s="31">
        <v>4.2156044136949014</v>
      </c>
      <c r="F112" s="31">
        <v>3.7123304083937909</v>
      </c>
      <c r="G112" s="31">
        <v>3.2677132082385438</v>
      </c>
      <c r="H112" s="31">
        <v>2.8767406447414272</v>
      </c>
      <c r="I112" s="31">
        <v>2.5346244362684569</v>
      </c>
      <c r="J112" s="31">
        <v>2.2368001880394131</v>
      </c>
      <c r="K112" s="31">
        <v>1.9789273921278201</v>
      </c>
      <c r="L112" s="31">
        <v>1.756889427460959</v>
      </c>
      <c r="M112" s="31">
        <v>1.5667935598198599</v>
      </c>
      <c r="N112" s="31">
        <v>1.4049709418393199</v>
      </c>
      <c r="O112" s="31">
        <v>1.267976613007876</v>
      </c>
      <c r="P112" s="31">
        <v>1.1525894996678241</v>
      </c>
      <c r="Q112" s="31">
        <v>1.0558124150152171</v>
      </c>
      <c r="R112" s="31">
        <v>0.97487205909985464</v>
      </c>
      <c r="S112" s="31">
        <v>0.90721901882529465</v>
      </c>
      <c r="T112" s="31">
        <v>0.85052776794885532</v>
      </c>
      <c r="U112" s="31">
        <v>0.80269666708159004</v>
      </c>
      <c r="V112" s="31">
        <v>0.76184796368831442</v>
      </c>
      <c r="W112" s="31">
        <v>0.72632779208763165</v>
      </c>
      <c r="X112" s="31">
        <v>0.6947061734518184</v>
      </c>
      <c r="Y112" s="31">
        <v>0.66577701580699888</v>
      </c>
      <c r="Z112" s="31">
        <v>0.63855811403298379</v>
      </c>
      <c r="AA112" s="31">
        <v>0.61229114986335986</v>
      </c>
      <c r="AB112" s="31">
        <v>0.58644169188548467</v>
      </c>
      <c r="AC112" s="31">
        <v>0.56069919554043168</v>
      </c>
      <c r="AD112" s="31">
        <v>0.53497700312306773</v>
      </c>
      <c r="AE112" s="31">
        <v>0.50941234378198208</v>
      </c>
      <c r="AF112" s="31">
        <v>0.48436633351954589</v>
      </c>
      <c r="AG112" s="31">
        <v>0.46042397519183009</v>
      </c>
      <c r="AH112" s="32">
        <v>0.43839415850876767</v>
      </c>
    </row>
    <row r="113" spans="1:34" x14ac:dyDescent="0.25">
      <c r="A113" s="30">
        <v>68</v>
      </c>
      <c r="B113" s="31">
        <v>6.206451569853936</v>
      </c>
      <c r="C113" s="31">
        <v>5.4865664388127433</v>
      </c>
      <c r="D113" s="31">
        <v>4.8423687642412574</v>
      </c>
      <c r="E113" s="31">
        <v>4.2681496302845776</v>
      </c>
      <c r="F113" s="31">
        <v>3.7584240079415761</v>
      </c>
      <c r="G113" s="31">
        <v>3.3079307550648691</v>
      </c>
      <c r="H113" s="31">
        <v>2.9116326163608282</v>
      </c>
      <c r="I113" s="31">
        <v>2.5647162233895728</v>
      </c>
      <c r="J113" s="31">
        <v>2.2625920945649889</v>
      </c>
      <c r="K113" s="31">
        <v>2.0008946351547041</v>
      </c>
      <c r="L113" s="31">
        <v>1.7754821372801111</v>
      </c>
      <c r="M113" s="31">
        <v>1.582436779916337</v>
      </c>
      <c r="N113" s="31">
        <v>1.418064628892292</v>
      </c>
      <c r="O113" s="31">
        <v>1.278895636890613</v>
      </c>
      <c r="P113" s="31">
        <v>1.1616836434476949</v>
      </c>
      <c r="Q113" s="31">
        <v>1.063406374953713</v>
      </c>
      <c r="R113" s="31">
        <v>0.98126544465255683</v>
      </c>
      <c r="S113" s="31">
        <v>0.91268635264189535</v>
      </c>
      <c r="T113" s="31">
        <v>0.8553184858731574</v>
      </c>
      <c r="U113" s="31">
        <v>0.80703511815148787</v>
      </c>
      <c r="V113" s="31">
        <v>0.76593341013582239</v>
      </c>
      <c r="W113" s="31">
        <v>0.73033440933885185</v>
      </c>
      <c r="X113" s="31">
        <v>0.69878305012698239</v>
      </c>
      <c r="Y113" s="31">
        <v>0.67004815372042625</v>
      </c>
      <c r="Z113" s="31">
        <v>0.64312242819310417</v>
      </c>
      <c r="AA113" s="31">
        <v>0.61722246847270235</v>
      </c>
      <c r="AB113" s="31">
        <v>0.5917887563406854</v>
      </c>
      <c r="AC113" s="31">
        <v>0.56648566043224424</v>
      </c>
      <c r="AD113" s="31">
        <v>0.54120143623633876</v>
      </c>
      <c r="AE113" s="31">
        <v>0.51604822609567713</v>
      </c>
      <c r="AF113" s="31">
        <v>0.49136205920669712</v>
      </c>
      <c r="AG113" s="31">
        <v>0.4677028516196346</v>
      </c>
      <c r="AH113" s="32">
        <v>0.44585440623848172</v>
      </c>
    </row>
    <row r="114" spans="1:34" x14ac:dyDescent="0.25">
      <c r="A114" s="30">
        <v>74</v>
      </c>
      <c r="B114" s="31">
        <v>6.27205974264439</v>
      </c>
      <c r="C114" s="31">
        <v>5.5449767450880234</v>
      </c>
      <c r="D114" s="31">
        <v>4.8941412903194967</v>
      </c>
      <c r="E114" s="31">
        <v>4.3138229595074371</v>
      </c>
      <c r="F114" s="31">
        <v>3.7985152206742261</v>
      </c>
      <c r="G114" s="31">
        <v>3.3429354286959989</v>
      </c>
      <c r="H114" s="31">
        <v>2.9420248253026542</v>
      </c>
      <c r="I114" s="31">
        <v>2.590948539077822</v>
      </c>
      <c r="J114" s="31">
        <v>2.2850955854589081</v>
      </c>
      <c r="K114" s="31">
        <v>2.020078866737065</v>
      </c>
      <c r="L114" s="31">
        <v>1.7917351720571939</v>
      </c>
      <c r="M114" s="31">
        <v>1.5961251774179499</v>
      </c>
      <c r="N114" s="31">
        <v>1.429533445671757</v>
      </c>
      <c r="O114" s="31">
        <v>1.288468426524771</v>
      </c>
      <c r="P114" s="31">
        <v>1.1696624565369089</v>
      </c>
      <c r="Q114" s="31">
        <v>1.0700717591218609</v>
      </c>
      <c r="R114" s="31">
        <v>0.98687644454704215</v>
      </c>
      <c r="S114" s="31">
        <v>0.91748050993363162</v>
      </c>
      <c r="T114" s="31">
        <v>0.85951183925657992</v>
      </c>
      <c r="U114" s="31">
        <v>0.8108222033445599</v>
      </c>
      <c r="V114" s="31">
        <v>0.76948725988001065</v>
      </c>
      <c r="W114" s="31">
        <v>0.73380655339915013</v>
      </c>
      <c r="X114" s="31">
        <v>0.7023035152919076</v>
      </c>
      <c r="Y114" s="31">
        <v>0.67372546380199327</v>
      </c>
      <c r="Z114" s="31">
        <v>0.64704360402687855</v>
      </c>
      <c r="AA114" s="31">
        <v>0.62145302791774171</v>
      </c>
      <c r="AB114" s="31">
        <v>0.59637271427958194</v>
      </c>
      <c r="AC114" s="31">
        <v>0.57144552877110222</v>
      </c>
      <c r="AD114" s="31">
        <v>0.54653822390477202</v>
      </c>
      <c r="AE114" s="31">
        <v>0.52174143904683512</v>
      </c>
      <c r="AF114" s="31">
        <v>0.49736970041725581</v>
      </c>
      <c r="AG114" s="31">
        <v>0.4739614210897472</v>
      </c>
      <c r="AH114" s="32">
        <v>0.45227890099186402</v>
      </c>
    </row>
    <row r="115" spans="1:34" x14ac:dyDescent="0.25">
      <c r="A115" s="33">
        <v>80</v>
      </c>
      <c r="B115" s="34">
        <v>6.3384196564763116</v>
      </c>
      <c r="C115" s="34">
        <v>5.6040841118047471</v>
      </c>
      <c r="D115" s="34">
        <v>4.9465582607400291</v>
      </c>
      <c r="E115" s="34">
        <v>4.3600901814742992</v>
      </c>
      <c r="F115" s="34">
        <v>3.8391518390534669</v>
      </c>
      <c r="G115" s="34">
        <v>3.378439085377182</v>
      </c>
      <c r="H115" s="34">
        <v>2.9728716591988569</v>
      </c>
      <c r="I115" s="34">
        <v>2.6175931861256481</v>
      </c>
      <c r="J115" s="34">
        <v>2.307971178618474</v>
      </c>
      <c r="K115" s="34">
        <v>2.039597035992009</v>
      </c>
      <c r="L115" s="34">
        <v>1.808286044414674</v>
      </c>
      <c r="M115" s="34">
        <v>1.6100773769086429</v>
      </c>
      <c r="N115" s="34">
        <v>1.4412340933498531</v>
      </c>
      <c r="O115" s="34">
        <v>1.2982431404679871</v>
      </c>
      <c r="P115" s="34">
        <v>1.17781535184648</v>
      </c>
      <c r="Q115" s="34">
        <v>1.0768854479225329</v>
      </c>
      <c r="R115" s="34">
        <v>0.99261203598708347</v>
      </c>
      <c r="S115" s="34">
        <v>0.922377610184834</v>
      </c>
      <c r="T115" s="34">
        <v>0.86378855151424361</v>
      </c>
      <c r="U115" s="34">
        <v>0.81467512782751583</v>
      </c>
      <c r="V115" s="34">
        <v>0.77309149383060316</v>
      </c>
      <c r="W115" s="34">
        <v>0.73731569108324013</v>
      </c>
      <c r="X115" s="34">
        <v>0.70584964799887828</v>
      </c>
      <c r="Y115" s="34">
        <v>0.67741917984474942</v>
      </c>
      <c r="Z115" s="34">
        <v>0.65097398874183376</v>
      </c>
      <c r="AA115" s="34">
        <v>0.62568766366483963</v>
      </c>
      <c r="AB115" s="34">
        <v>0.60095768044228315</v>
      </c>
      <c r="AC115" s="34">
        <v>0.576405401756377</v>
      </c>
      <c r="AD115" s="34">
        <v>0.55187607714311326</v>
      </c>
      <c r="AE115" s="34">
        <v>0.52743884299225041</v>
      </c>
      <c r="AF115" s="34">
        <v>0.50338672254730454</v>
      </c>
      <c r="AG115" s="34">
        <v>0.48023662590545169</v>
      </c>
      <c r="AH115" s="35">
        <v>0.45872935001780851</v>
      </c>
    </row>
    <row r="118" spans="1:34" ht="28.9" customHeight="1" x14ac:dyDescent="0.5">
      <c r="A118" s="1" t="s">
        <v>31</v>
      </c>
    </row>
    <row r="119" spans="1:34" ht="32.1" customHeight="1" x14ac:dyDescent="0.25"/>
    <row r="120" spans="1:34" x14ac:dyDescent="0.25">
      <c r="A120" s="2"/>
      <c r="B120" s="3"/>
      <c r="C120" s="3"/>
      <c r="D120" s="4"/>
    </row>
    <row r="121" spans="1:34" x14ac:dyDescent="0.25">
      <c r="A121" s="5" t="s">
        <v>32</v>
      </c>
      <c r="B121" s="6">
        <v>1.875</v>
      </c>
      <c r="C121" s="6" t="s">
        <v>12</v>
      </c>
      <c r="D121" s="7"/>
    </row>
    <row r="122" spans="1:34" x14ac:dyDescent="0.25">
      <c r="A122" s="8"/>
      <c r="B122" s="9"/>
      <c r="C122" s="9"/>
      <c r="D122" s="10"/>
    </row>
    <row r="125" spans="1:34" ht="48" customHeight="1" x14ac:dyDescent="0.25">
      <c r="A125" s="21" t="s">
        <v>33</v>
      </c>
      <c r="B125" s="23" t="s">
        <v>34</v>
      </c>
    </row>
    <row r="126" spans="1:34" x14ac:dyDescent="0.25">
      <c r="A126" s="5">
        <v>0</v>
      </c>
      <c r="B126" s="32">
        <v>0.37000000000000011</v>
      </c>
    </row>
    <row r="127" spans="1:34" x14ac:dyDescent="0.25">
      <c r="A127" s="5">
        <v>0.125</v>
      </c>
      <c r="B127" s="32">
        <v>0.37360624999999992</v>
      </c>
    </row>
    <row r="128" spans="1:34" x14ac:dyDescent="0.25">
      <c r="A128" s="5">
        <v>0.25</v>
      </c>
      <c r="B128" s="32">
        <v>0.28381944444444462</v>
      </c>
    </row>
    <row r="129" spans="1:2" x14ac:dyDescent="0.25">
      <c r="A129" s="5">
        <v>0.375</v>
      </c>
      <c r="B129" s="32">
        <v>0.18470669642857149</v>
      </c>
    </row>
    <row r="130" spans="1:2" x14ac:dyDescent="0.25">
      <c r="A130" s="5">
        <v>0.5</v>
      </c>
      <c r="B130" s="32">
        <v>0.13861111111111121</v>
      </c>
    </row>
    <row r="131" spans="1:2" x14ac:dyDescent="0.25">
      <c r="A131" s="5">
        <v>0.625</v>
      </c>
      <c r="B131" s="32">
        <v>0.1207638888888891</v>
      </c>
    </row>
    <row r="132" spans="1:2" x14ac:dyDescent="0.25">
      <c r="A132" s="5">
        <v>0.75</v>
      </c>
      <c r="B132" s="32">
        <v>0.1029166666666668</v>
      </c>
    </row>
    <row r="133" spans="1:2" x14ac:dyDescent="0.25">
      <c r="A133" s="5">
        <v>0.875</v>
      </c>
      <c r="B133" s="32">
        <v>7.3402777777778039E-2</v>
      </c>
    </row>
    <row r="134" spans="1:2" x14ac:dyDescent="0.25">
      <c r="A134" s="5">
        <v>1</v>
      </c>
      <c r="B134" s="32">
        <v>4.7222222222222283E-2</v>
      </c>
    </row>
    <row r="135" spans="1:2" x14ac:dyDescent="0.25">
      <c r="A135" s="5">
        <v>1.125</v>
      </c>
      <c r="B135" s="32">
        <v>2.406250000000033E-2</v>
      </c>
    </row>
    <row r="136" spans="1:2" x14ac:dyDescent="0.25">
      <c r="A136" s="5">
        <v>1.25</v>
      </c>
      <c r="B136" s="32">
        <v>1.7691249050873381E-2</v>
      </c>
    </row>
    <row r="137" spans="1:2" x14ac:dyDescent="0.25">
      <c r="A137" s="5">
        <v>1.375</v>
      </c>
      <c r="B137" s="32">
        <v>1.3727699530516779E-2</v>
      </c>
    </row>
    <row r="138" spans="1:2" x14ac:dyDescent="0.25">
      <c r="A138" s="5">
        <v>1.5</v>
      </c>
      <c r="B138" s="32">
        <v>1.0735849056604071E-2</v>
      </c>
    </row>
    <row r="139" spans="1:2" x14ac:dyDescent="0.25">
      <c r="A139" s="5">
        <v>1.625</v>
      </c>
      <c r="B139" s="32">
        <v>8.2594339622642527E-3</v>
      </c>
    </row>
    <row r="140" spans="1:2" x14ac:dyDescent="0.25">
      <c r="A140" s="5">
        <v>1.75</v>
      </c>
      <c r="B140" s="32">
        <v>5.7830188679246497E-3</v>
      </c>
    </row>
    <row r="141" spans="1:2" x14ac:dyDescent="0.25">
      <c r="A141" s="5">
        <v>1.875</v>
      </c>
      <c r="B141" s="32">
        <v>0</v>
      </c>
    </row>
    <row r="142" spans="1:2" x14ac:dyDescent="0.25">
      <c r="A142" s="5">
        <v>2</v>
      </c>
      <c r="B142" s="32">
        <v>0</v>
      </c>
    </row>
    <row r="143" spans="1:2" x14ac:dyDescent="0.25">
      <c r="A143" s="5">
        <v>2.125</v>
      </c>
      <c r="B143" s="32">
        <v>0</v>
      </c>
    </row>
    <row r="144" spans="1:2" x14ac:dyDescent="0.25">
      <c r="A144" s="5">
        <v>2.25</v>
      </c>
      <c r="B144" s="32">
        <v>0</v>
      </c>
    </row>
    <row r="145" spans="1:2" x14ac:dyDescent="0.25">
      <c r="A145" s="5">
        <v>2.375</v>
      </c>
      <c r="B145" s="32">
        <v>0</v>
      </c>
    </row>
    <row r="146" spans="1:2" x14ac:dyDescent="0.25">
      <c r="A146" s="5">
        <v>2.5</v>
      </c>
      <c r="B146" s="32">
        <v>0</v>
      </c>
    </row>
    <row r="147" spans="1:2" x14ac:dyDescent="0.25">
      <c r="A147" s="5">
        <v>2.625</v>
      </c>
      <c r="B147" s="32">
        <v>0</v>
      </c>
    </row>
    <row r="148" spans="1:2" x14ac:dyDescent="0.25">
      <c r="A148" s="5">
        <v>2.75</v>
      </c>
      <c r="B148" s="32">
        <v>0</v>
      </c>
    </row>
    <row r="149" spans="1:2" x14ac:dyDescent="0.25">
      <c r="A149" s="5">
        <v>2.875</v>
      </c>
      <c r="B149" s="32">
        <v>0</v>
      </c>
    </row>
    <row r="150" spans="1:2" x14ac:dyDescent="0.25">
      <c r="A150" s="5">
        <v>3</v>
      </c>
      <c r="B150" s="32">
        <v>0</v>
      </c>
    </row>
    <row r="151" spans="1:2" x14ac:dyDescent="0.25">
      <c r="A151" s="5">
        <v>3.125</v>
      </c>
      <c r="B151" s="32">
        <v>0</v>
      </c>
    </row>
    <row r="152" spans="1:2" x14ac:dyDescent="0.25">
      <c r="A152" s="5">
        <v>3.25</v>
      </c>
      <c r="B152" s="32">
        <v>0</v>
      </c>
    </row>
    <row r="153" spans="1:2" x14ac:dyDescent="0.25">
      <c r="A153" s="5">
        <v>3.375</v>
      </c>
      <c r="B153" s="32">
        <v>0</v>
      </c>
    </row>
    <row r="154" spans="1:2" x14ac:dyDescent="0.25">
      <c r="A154" s="5">
        <v>3.5</v>
      </c>
      <c r="B154" s="32">
        <v>0</v>
      </c>
    </row>
    <row r="155" spans="1:2" x14ac:dyDescent="0.25">
      <c r="A155" s="5">
        <v>3.625</v>
      </c>
      <c r="B155" s="32">
        <v>0</v>
      </c>
    </row>
    <row r="156" spans="1:2" x14ac:dyDescent="0.25">
      <c r="A156" s="5">
        <v>3.75</v>
      </c>
      <c r="B156" s="32">
        <v>0</v>
      </c>
    </row>
    <row r="157" spans="1:2" x14ac:dyDescent="0.25">
      <c r="A157" s="5">
        <v>3.875</v>
      </c>
      <c r="B157" s="32">
        <v>0</v>
      </c>
    </row>
    <row r="158" spans="1:2" x14ac:dyDescent="0.25">
      <c r="A158" s="8">
        <v>4</v>
      </c>
      <c r="B158" s="35">
        <v>0</v>
      </c>
    </row>
  </sheetData>
  <sheetProtection algorithmName="SHA-512" hashValue="9KDDELUw5i6GNvu/0Jc3D/qGeL2ysazHrAjm17EGCzXFQqaNfypOCCLlTEFfB5Ov5vaKnnE1bvXywIQ/RVJWZQ==" saltValue="DfppmutxbGeBrbO6W3D3wQ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5:R158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39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300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11</v>
      </c>
      <c r="B30" s="6">
        <v>0.46</v>
      </c>
      <c r="C30" s="6" t="s">
        <v>12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13</v>
      </c>
    </row>
    <row r="36" spans="1:5" x14ac:dyDescent="0.25">
      <c r="A36" s="17" t="s">
        <v>14</v>
      </c>
      <c r="B36" s="17">
        <v>100</v>
      </c>
      <c r="C36" s="17" t="s">
        <v>15</v>
      </c>
      <c r="D36" s="17" t="s">
        <v>16</v>
      </c>
      <c r="E36" s="17"/>
    </row>
    <row r="37" spans="1:5" hidden="1" x14ac:dyDescent="0.25">
      <c r="A37" s="17" t="s">
        <v>17</v>
      </c>
      <c r="B37" s="17">
        <v>14.7</v>
      </c>
      <c r="C37" s="17"/>
      <c r="D37" s="17" t="s">
        <v>16</v>
      </c>
      <c r="E37" s="17"/>
    </row>
    <row r="38" spans="1:5" hidden="1" x14ac:dyDescent="0.25">
      <c r="A38" s="17" t="s">
        <v>18</v>
      </c>
      <c r="B38" s="17">
        <v>9.0079999999999991</v>
      </c>
      <c r="C38" s="17"/>
      <c r="D38" s="17" t="s">
        <v>16</v>
      </c>
      <c r="E38" s="17"/>
    </row>
    <row r="40" spans="1:5" ht="48" customHeight="1" x14ac:dyDescent="0.25">
      <c r="A40" s="18" t="s">
        <v>40</v>
      </c>
      <c r="B40" s="19" t="s">
        <v>20</v>
      </c>
      <c r="C40" s="19" t="s">
        <v>21</v>
      </c>
      <c r="D40" s="19" t="s">
        <v>22</v>
      </c>
      <c r="E40" s="20" t="s">
        <v>23</v>
      </c>
    </row>
    <row r="41" spans="1:5" x14ac:dyDescent="0.25">
      <c r="A41" s="5">
        <v>128</v>
      </c>
      <c r="B41" s="6">
        <v>32.438832510451242</v>
      </c>
      <c r="C41" s="6">
        <f>32.4388325104512 * $B$36 / 100</f>
        <v>32.438832510451199</v>
      </c>
      <c r="D41" s="6">
        <v>4.087220810022389</v>
      </c>
      <c r="E41" s="7">
        <f>4.08722081002238 * $B$36 / 100</f>
        <v>4.0872208100223801</v>
      </c>
    </row>
    <row r="42" spans="1:5" x14ac:dyDescent="0.25">
      <c r="A42" s="5">
        <v>144</v>
      </c>
      <c r="B42" s="6">
        <v>34.40657766287206</v>
      </c>
      <c r="C42" s="6">
        <f>34.406577662872 * $B$36 / 100</f>
        <v>34.406577662872003</v>
      </c>
      <c r="D42" s="6">
        <v>4.3351523264604062</v>
      </c>
      <c r="E42" s="7">
        <f>4.3351523264604 * $B$36 / 100</f>
        <v>4.3351523264603999</v>
      </c>
    </row>
    <row r="43" spans="1:5" x14ac:dyDescent="0.25">
      <c r="A43" s="5">
        <v>160</v>
      </c>
      <c r="B43" s="6">
        <v>36.267717302049562</v>
      </c>
      <c r="C43" s="6">
        <f>36.2677173020495 * $B$36 / 100</f>
        <v>36.267717302049498</v>
      </c>
      <c r="D43" s="6">
        <v>4.5696517851309073</v>
      </c>
      <c r="E43" s="7">
        <f>4.5696517851309 * $B$36 / 100</f>
        <v>4.5696517851309002</v>
      </c>
    </row>
    <row r="44" spans="1:5" x14ac:dyDescent="0.25">
      <c r="A44" s="5">
        <v>176</v>
      </c>
      <c r="B44" s="6">
        <v>38.037902809323278</v>
      </c>
      <c r="C44" s="6">
        <f>38.0379028093232 * $B$36 / 100</f>
        <v>38.037902809323199</v>
      </c>
      <c r="D44" s="6">
        <v>4.7926912253018239</v>
      </c>
      <c r="E44" s="7">
        <f>4.79269122530182 * $B$36 / 100</f>
        <v>4.7926912253018203</v>
      </c>
    </row>
    <row r="45" spans="1:5" x14ac:dyDescent="0.25">
      <c r="A45" s="5">
        <v>192</v>
      </c>
      <c r="B45" s="6">
        <v>39.729293751105899</v>
      </c>
      <c r="C45" s="6">
        <f>39.7292937511059 * $B$36 / 100</f>
        <v>39.729293751105899</v>
      </c>
      <c r="D45" s="6">
        <v>5.0058027253198967</v>
      </c>
      <c r="E45" s="7">
        <f>5.00580272531989 * $B$36 / 100</f>
        <v>5.0058027253198896</v>
      </c>
    </row>
    <row r="46" spans="1:5" x14ac:dyDescent="0.25">
      <c r="A46" s="5">
        <v>208</v>
      </c>
      <c r="B46" s="6">
        <v>41.351559992239721</v>
      </c>
      <c r="C46" s="6">
        <f>41.3515599922397 * $B$36 / 100</f>
        <v>41.3515599922397</v>
      </c>
      <c r="D46" s="6">
        <v>5.2102046666666659</v>
      </c>
      <c r="E46" s="7">
        <f>5.21020466666666 * $B$36 / 100</f>
        <v>5.2102046666666588</v>
      </c>
    </row>
    <row r="47" spans="1:5" x14ac:dyDescent="0.25">
      <c r="A47" s="5">
        <v>224</v>
      </c>
      <c r="B47" s="6">
        <v>42.884200779555201</v>
      </c>
      <c r="C47" s="6">
        <f>42.8842007795552 * $B$36 / 100</f>
        <v>42.884200779555201</v>
      </c>
      <c r="D47" s="6">
        <v>5.403314</v>
      </c>
      <c r="E47" s="7">
        <f>5.403314 * $B$36 / 100</f>
        <v>5.403314</v>
      </c>
    </row>
    <row r="48" spans="1:5" x14ac:dyDescent="0.25">
      <c r="A48" s="5">
        <v>240</v>
      </c>
      <c r="B48" s="6">
        <v>44.416841566870673</v>
      </c>
      <c r="C48" s="6">
        <f>44.4168415668706 * $B$36 / 100</f>
        <v>44.416841566870602</v>
      </c>
      <c r="D48" s="6">
        <v>5.5964233333333331</v>
      </c>
      <c r="E48" s="7">
        <f>5.59642333333333 * $B$36 / 100</f>
        <v>5.5964233333333304</v>
      </c>
    </row>
    <row r="49" spans="1:5" x14ac:dyDescent="0.25">
      <c r="A49" s="5">
        <v>256</v>
      </c>
      <c r="B49" s="6">
        <v>45.949482354186152</v>
      </c>
      <c r="C49" s="6">
        <f>45.9494823541861 * $B$36 / 100</f>
        <v>45.949482354186102</v>
      </c>
      <c r="D49" s="6">
        <v>5.7895326666666671</v>
      </c>
      <c r="E49" s="7">
        <f>5.78953266666666 * $B$36 / 100</f>
        <v>5.78953266666666</v>
      </c>
    </row>
    <row r="50" spans="1:5" x14ac:dyDescent="0.25">
      <c r="A50" s="5">
        <v>272</v>
      </c>
      <c r="B50" s="6">
        <v>47.482123141501617</v>
      </c>
      <c r="C50" s="6">
        <f>47.4821231415016 * $B$36 / 100</f>
        <v>47.482123141501603</v>
      </c>
      <c r="D50" s="6">
        <v>5.9826420000000002</v>
      </c>
      <c r="E50" s="7">
        <f>5.982642 * $B$36 / 100</f>
        <v>5.9826420000000011</v>
      </c>
    </row>
    <row r="51" spans="1:5" x14ac:dyDescent="0.25">
      <c r="A51" s="5">
        <v>288</v>
      </c>
      <c r="B51" s="6">
        <v>49.014763928817104</v>
      </c>
      <c r="C51" s="6">
        <f>49.014763928817 * $B$36 / 100</f>
        <v>49.014763928817004</v>
      </c>
      <c r="D51" s="6">
        <v>6.1757513333333343</v>
      </c>
      <c r="E51" s="7">
        <f>6.17575133333333 * $B$36 / 100</f>
        <v>6.1757513333333289</v>
      </c>
    </row>
    <row r="52" spans="1:5" x14ac:dyDescent="0.25">
      <c r="A52" s="5">
        <v>304</v>
      </c>
      <c r="B52" s="6">
        <v>50.492170937759049</v>
      </c>
      <c r="C52" s="6">
        <f>50.492170937759 * $B$36 / 100</f>
        <v>50.492170937758999</v>
      </c>
      <c r="D52" s="6">
        <v>6.3619013333333339</v>
      </c>
      <c r="E52" s="7">
        <f>6.36190133333333 * $B$36 / 100</f>
        <v>6.3619013333333303</v>
      </c>
    </row>
    <row r="53" spans="1:5" x14ac:dyDescent="0.25">
      <c r="A53" s="5">
        <v>320</v>
      </c>
      <c r="B53" s="6">
        <v>51.803876611580463</v>
      </c>
      <c r="C53" s="6">
        <f>51.8038766115804 * $B$36 / 100</f>
        <v>51.803876611580399</v>
      </c>
      <c r="D53" s="6">
        <v>6.5271733333333337</v>
      </c>
      <c r="E53" s="7">
        <f>6.52717333333333 * $B$36 / 100</f>
        <v>6.5271733333333302</v>
      </c>
    </row>
    <row r="54" spans="1:5" x14ac:dyDescent="0.25">
      <c r="A54" s="5">
        <v>336</v>
      </c>
      <c r="B54" s="6">
        <v>53.115582285401857</v>
      </c>
      <c r="C54" s="6">
        <f>53.1155822854018 * $B$36 / 100</f>
        <v>53.1155822854018</v>
      </c>
      <c r="D54" s="6">
        <v>6.6924453333333336</v>
      </c>
      <c r="E54" s="7">
        <f>6.69244533333333 * $B$36 / 100</f>
        <v>6.69244533333333</v>
      </c>
    </row>
    <row r="55" spans="1:5" x14ac:dyDescent="0.25">
      <c r="A55" s="5">
        <v>352</v>
      </c>
      <c r="B55" s="6">
        <v>54.427287959223271</v>
      </c>
      <c r="C55" s="6">
        <f>54.4272879592232 * $B$36 / 100</f>
        <v>54.427287959223207</v>
      </c>
      <c r="D55" s="6">
        <v>6.8577173333333334</v>
      </c>
      <c r="E55" s="7">
        <f>6.85771733333333 * $B$36 / 100</f>
        <v>6.8577173333333299</v>
      </c>
    </row>
    <row r="56" spans="1:5" x14ac:dyDescent="0.25">
      <c r="A56" s="5">
        <v>368</v>
      </c>
      <c r="B56" s="6">
        <v>55.738993633044679</v>
      </c>
      <c r="C56" s="6">
        <f>55.7389936330446 * $B$36 / 100</f>
        <v>55.738993633044601</v>
      </c>
      <c r="D56" s="6">
        <v>7.0229893333333342</v>
      </c>
      <c r="E56" s="7">
        <f>7.02298933333333 * $B$36 / 100</f>
        <v>7.0229893333333306</v>
      </c>
    </row>
    <row r="57" spans="1:5" x14ac:dyDescent="0.25">
      <c r="A57" s="5">
        <v>384</v>
      </c>
      <c r="B57" s="6">
        <v>57.050699306866093</v>
      </c>
      <c r="C57" s="6">
        <f>57.050699306866 * $B$36 / 100</f>
        <v>57.050699306866001</v>
      </c>
      <c r="D57" s="6">
        <v>7.1882613333333332</v>
      </c>
      <c r="E57" s="7">
        <f>7.18826133333333 * $B$36 / 100</f>
        <v>7.1882613333333305</v>
      </c>
    </row>
    <row r="58" spans="1:5" x14ac:dyDescent="0.25">
      <c r="A58" s="5">
        <v>400</v>
      </c>
      <c r="B58" s="6">
        <v>58.362404980687486</v>
      </c>
      <c r="C58" s="6">
        <f>58.3624049806874 * $B$36 / 100</f>
        <v>58.362404980687394</v>
      </c>
      <c r="D58" s="6">
        <v>7.3535333333333339</v>
      </c>
      <c r="E58" s="7">
        <f>7.35353333333333 * $B$36 / 100</f>
        <v>7.3535333333333304</v>
      </c>
    </row>
    <row r="59" spans="1:5" x14ac:dyDescent="0.25">
      <c r="A59" s="5">
        <v>416</v>
      </c>
      <c r="B59" s="6">
        <v>59.488710559269123</v>
      </c>
      <c r="C59" s="6">
        <f>59.4887105592691 * $B$36 / 100</f>
        <v>59.488710559269101</v>
      </c>
      <c r="D59" s="6">
        <v>7.4954453333333326</v>
      </c>
      <c r="E59" s="7">
        <f>7.49544533333333 * $B$36 / 100</f>
        <v>7.49544533333333</v>
      </c>
    </row>
    <row r="60" spans="1:5" x14ac:dyDescent="0.25">
      <c r="A60" s="5">
        <v>432</v>
      </c>
      <c r="B60" s="6">
        <v>60.615016137850759</v>
      </c>
      <c r="C60" s="6">
        <f>60.6150161378507 * $B$36 / 100</f>
        <v>60.615016137850695</v>
      </c>
      <c r="D60" s="6">
        <v>7.637357333333334</v>
      </c>
      <c r="E60" s="7">
        <f>7.63735733333333 * $B$36 / 100</f>
        <v>7.6373573333333296</v>
      </c>
    </row>
    <row r="61" spans="1:5" x14ac:dyDescent="0.25">
      <c r="A61" s="5">
        <v>448</v>
      </c>
      <c r="B61" s="6">
        <v>61.741321716432388</v>
      </c>
      <c r="C61" s="6">
        <f>61.7413217164323 * $B$36 / 100</f>
        <v>61.741321716432303</v>
      </c>
      <c r="D61" s="6">
        <v>7.7792693333333327</v>
      </c>
      <c r="E61" s="7">
        <f>7.77926933333333 * $B$36 / 100</f>
        <v>7.7792693333333292</v>
      </c>
    </row>
    <row r="62" spans="1:5" x14ac:dyDescent="0.25">
      <c r="A62" s="5">
        <v>464</v>
      </c>
      <c r="B62" s="6">
        <v>62.867627295014017</v>
      </c>
      <c r="C62" s="6">
        <f>62.867627295014 * $B$36 / 100</f>
        <v>62.867627295013996</v>
      </c>
      <c r="D62" s="6">
        <v>7.9211813333333332</v>
      </c>
      <c r="E62" s="7">
        <f>7.92118133333333 * $B$36 / 100</f>
        <v>7.9211813333333296</v>
      </c>
    </row>
    <row r="63" spans="1:5" x14ac:dyDescent="0.25">
      <c r="A63" s="5">
        <v>480</v>
      </c>
      <c r="B63" s="6">
        <v>63.993932873595647</v>
      </c>
      <c r="C63" s="6">
        <f>63.9939328735956 * $B$36 / 100</f>
        <v>63.993932873595597</v>
      </c>
      <c r="D63" s="6">
        <v>8.0630933333333328</v>
      </c>
      <c r="E63" s="7">
        <f>8.06309333333333 * $B$36 / 100</f>
        <v>8.0630933333333292</v>
      </c>
    </row>
    <row r="64" spans="1:5" x14ac:dyDescent="0.25">
      <c r="A64" s="5">
        <v>496</v>
      </c>
      <c r="B64" s="6">
        <v>65.120238452177276</v>
      </c>
      <c r="C64" s="6">
        <f>65.1202384521772 * $B$36 / 100</f>
        <v>65.120238452177205</v>
      </c>
      <c r="D64" s="6">
        <v>8.2050053333333324</v>
      </c>
      <c r="E64" s="7">
        <f>8.20500533333333 * $B$36 / 100</f>
        <v>8.2050053333333306</v>
      </c>
    </row>
    <row r="65" spans="1:18" x14ac:dyDescent="0.25">
      <c r="A65" s="5">
        <v>512</v>
      </c>
      <c r="B65" s="6">
        <v>66.120240215876819</v>
      </c>
      <c r="C65" s="6">
        <f>66.1202402158768 * $B$36 / 100</f>
        <v>66.120240215876805</v>
      </c>
      <c r="D65" s="6">
        <v>8.3310033333333333</v>
      </c>
      <c r="E65" s="7">
        <f>8.33100333333333 * $B$36 / 100</f>
        <v>8.3310033333333298</v>
      </c>
    </row>
    <row r="66" spans="1:18" x14ac:dyDescent="0.25">
      <c r="A66" s="5">
        <v>528</v>
      </c>
      <c r="B66" s="6">
        <v>67.07814070794899</v>
      </c>
      <c r="C66" s="6">
        <f>67.0781407079489 * $B$36 / 100</f>
        <v>67.078140707948904</v>
      </c>
      <c r="D66" s="6">
        <v>8.4516966666666651</v>
      </c>
      <c r="E66" s="7">
        <f>8.45169666666666 * $B$36 / 100</f>
        <v>8.4516966666666598</v>
      </c>
    </row>
    <row r="67" spans="1:18" x14ac:dyDescent="0.25">
      <c r="A67" s="5">
        <v>544</v>
      </c>
      <c r="B67" s="6">
        <v>68.03604120002116</v>
      </c>
      <c r="C67" s="6">
        <f>68.0360412000211 * $B$36 / 100</f>
        <v>68.036041200021103</v>
      </c>
      <c r="D67" s="6">
        <v>8.5723899999999986</v>
      </c>
      <c r="E67" s="7">
        <f>8.57238999999999 * $B$36 / 100</f>
        <v>8.5723899999999897</v>
      </c>
    </row>
    <row r="68" spans="1:18" x14ac:dyDescent="0.25">
      <c r="A68" s="5">
        <v>560</v>
      </c>
      <c r="B68" s="6">
        <v>68.99394169209333</v>
      </c>
      <c r="C68" s="6">
        <f>68.9939416920933 * $B$36 / 100</f>
        <v>68.993941692093301</v>
      </c>
      <c r="D68" s="6">
        <v>8.6930833333333322</v>
      </c>
      <c r="E68" s="7">
        <f>8.69308333333333 * $B$36 / 100</f>
        <v>8.6930833333333304</v>
      </c>
    </row>
    <row r="69" spans="1:18" x14ac:dyDescent="0.25">
      <c r="A69" s="5">
        <v>576</v>
      </c>
      <c r="B69" s="6">
        <v>69.9518421841655</v>
      </c>
      <c r="C69" s="6">
        <f>69.9518421841655 * $B$36 / 100</f>
        <v>69.9518421841655</v>
      </c>
      <c r="D69" s="6">
        <v>8.8137766666666657</v>
      </c>
      <c r="E69" s="7">
        <f>8.81377666666666 * $B$36 / 100</f>
        <v>8.8137766666666604</v>
      </c>
    </row>
    <row r="70" spans="1:18" x14ac:dyDescent="0.25">
      <c r="A70" s="5">
        <v>592</v>
      </c>
      <c r="B70" s="6">
        <v>70.90974267623767</v>
      </c>
      <c r="C70" s="6">
        <f>70.9097426762376 * $B$36 / 100</f>
        <v>70.909742676237599</v>
      </c>
      <c r="D70" s="6">
        <v>8.9344699999999992</v>
      </c>
      <c r="E70" s="7">
        <f>8.93447 * $B$36 / 100</f>
        <v>8.9344699999999992</v>
      </c>
    </row>
    <row r="71" spans="1:18" x14ac:dyDescent="0.25">
      <c r="A71" s="5">
        <v>608</v>
      </c>
      <c r="B71" s="6">
        <v>71.861593893078677</v>
      </c>
      <c r="C71" s="6">
        <f>71.8615938930786 * $B$36 / 100</f>
        <v>71.861593893078606</v>
      </c>
      <c r="D71" s="6">
        <v>9.0544011380970399</v>
      </c>
      <c r="E71" s="7">
        <f>9.05440113809704 * $B$36 / 100</f>
        <v>9.0544011380970399</v>
      </c>
    </row>
    <row r="72" spans="1:18" x14ac:dyDescent="0.25">
      <c r="A72" s="5">
        <v>624</v>
      </c>
      <c r="B72" s="6">
        <v>72.801001004775202</v>
      </c>
      <c r="C72" s="6">
        <f>72.8010010047752 * $B$36 / 100</f>
        <v>72.801001004775202</v>
      </c>
      <c r="D72" s="6">
        <v>9.1727643465994415</v>
      </c>
      <c r="E72" s="7">
        <f>9.17276434659944 * $B$36 / 100</f>
        <v>9.1727643465994397</v>
      </c>
    </row>
    <row r="73" spans="1:18" x14ac:dyDescent="0.25">
      <c r="A73" s="8">
        <v>640</v>
      </c>
      <c r="B73" s="9">
        <v>73.728439680633429</v>
      </c>
      <c r="C73" s="9">
        <f>73.7284396806334 * $B$36 / 100</f>
        <v>73.7284396806334</v>
      </c>
      <c r="D73" s="9">
        <v>9.2896195587827446</v>
      </c>
      <c r="E73" s="10">
        <f>9.28961955878274 * $B$36 / 100</f>
        <v>9.2896195587827393</v>
      </c>
    </row>
    <row r="75" spans="1:18" ht="28.9" customHeight="1" x14ac:dyDescent="0.5">
      <c r="A75" s="1" t="s">
        <v>24</v>
      </c>
      <c r="B75" s="1"/>
    </row>
    <row r="76" spans="1:18" x14ac:dyDescent="0.25">
      <c r="A76" s="21" t="s">
        <v>25</v>
      </c>
      <c r="B76" s="22">
        <v>0</v>
      </c>
      <c r="C76" s="22">
        <v>6.25</v>
      </c>
      <c r="D76" s="22">
        <v>12.5</v>
      </c>
      <c r="E76" s="22">
        <v>18.75</v>
      </c>
      <c r="F76" s="22">
        <v>25</v>
      </c>
      <c r="G76" s="22">
        <v>31.25</v>
      </c>
      <c r="H76" s="22">
        <v>37.5</v>
      </c>
      <c r="I76" s="22">
        <v>43.75</v>
      </c>
      <c r="J76" s="22">
        <v>50</v>
      </c>
      <c r="K76" s="22">
        <v>56.25</v>
      </c>
      <c r="L76" s="22">
        <v>62.5</v>
      </c>
      <c r="M76" s="22">
        <v>68.75</v>
      </c>
      <c r="N76" s="22">
        <v>75</v>
      </c>
      <c r="O76" s="22">
        <v>81.25</v>
      </c>
      <c r="P76" s="22">
        <v>87.5</v>
      </c>
      <c r="Q76" s="22">
        <v>93.75</v>
      </c>
      <c r="R76" s="23">
        <v>100</v>
      </c>
    </row>
    <row r="77" spans="1:18" x14ac:dyDescent="0.25">
      <c r="A77" s="5" t="s">
        <v>26</v>
      </c>
      <c r="B77" s="6">
        <f>0 * $B$38 + (1 - 0) * $B$37</f>
        <v>14.7</v>
      </c>
      <c r="C77" s="6">
        <f>0.0625 * $B$38 + (1 - 0.0625) * $B$37</f>
        <v>14.344250000000001</v>
      </c>
      <c r="D77" s="6">
        <f>0.125 * $B$38 + (1 - 0.125) * $B$37</f>
        <v>13.988499999999998</v>
      </c>
      <c r="E77" s="6">
        <f>0.1875 * $B$38 + (1 - 0.1875) * $B$37</f>
        <v>13.63275</v>
      </c>
      <c r="F77" s="6">
        <f>0.25 * $B$38 + (1 - 0.25) * $B$37</f>
        <v>13.276999999999997</v>
      </c>
      <c r="G77" s="6">
        <f>0.3125 * $B$38 + (1 - 0.3125) * $B$37</f>
        <v>12.921249999999999</v>
      </c>
      <c r="H77" s="6">
        <f>0.375 * $B$38 + (1 - 0.375) * $B$37</f>
        <v>12.5655</v>
      </c>
      <c r="I77" s="6">
        <f>0.4375 * $B$38 + (1 - 0.4375) * $B$37</f>
        <v>12.20975</v>
      </c>
      <c r="J77" s="6">
        <f>0.5 * $B$38 + (1 - 0.5) * $B$37</f>
        <v>11.853999999999999</v>
      </c>
      <c r="K77" s="6">
        <f>0.5625 * $B$38 + (1 - 0.5625) * $B$37</f>
        <v>11.498249999999999</v>
      </c>
      <c r="L77" s="6">
        <f>0.625 * $B$38 + (1 - 0.625) * $B$37</f>
        <v>11.142499999999998</v>
      </c>
      <c r="M77" s="6">
        <f>0.6875 * $B$38 + (1 - 0.6875) * $B$37</f>
        <v>10.78675</v>
      </c>
      <c r="N77" s="6">
        <f>0.75 * $B$38 + (1 - 0.75) * $B$37</f>
        <v>10.430999999999999</v>
      </c>
      <c r="O77" s="6">
        <f>0.8125 * $B$38 + (1 - 0.8125) * $B$37</f>
        <v>10.075249999999999</v>
      </c>
      <c r="P77" s="6">
        <f>0.875 * $B$38 + (1 - 0.875) * $B$37</f>
        <v>9.7195</v>
      </c>
      <c r="Q77" s="6">
        <f>0.9375 * $B$38 + (1 - 0.9375) * $B$37</f>
        <v>9.3637499999999978</v>
      </c>
      <c r="R77" s="7">
        <f>1 * $B$38 + (1 - 1) * $B$37</f>
        <v>9.0079999999999991</v>
      </c>
    </row>
    <row r="78" spans="1:18" x14ac:dyDescent="0.25">
      <c r="A78" s="8" t="s">
        <v>27</v>
      </c>
      <c r="B78" s="9">
        <f>(0 * $B$38 + (1 - 0) * $B$37) * $B$36 / 100</f>
        <v>14.7</v>
      </c>
      <c r="C78" s="9">
        <f>(0.0625 * $B$38 + (1 - 0.0625) * $B$37) * $B$36 / 100</f>
        <v>14.344249999999999</v>
      </c>
      <c r="D78" s="9">
        <f>(0.125 * $B$38 + (1 - 0.125) * $B$37) * $B$36 / 100</f>
        <v>13.988499999999998</v>
      </c>
      <c r="E78" s="9">
        <f>(0.1875 * $B$38 + (1 - 0.1875) * $B$37) * $B$36 / 100</f>
        <v>13.632749999999998</v>
      </c>
      <c r="F78" s="9">
        <f>(0.25 * $B$38 + (1 - 0.25) * $B$37) * $B$36 / 100</f>
        <v>13.276999999999997</v>
      </c>
      <c r="G78" s="9">
        <f>(0.3125 * $B$38 + (1 - 0.3125) * $B$37) * $B$36 / 100</f>
        <v>12.921249999999997</v>
      </c>
      <c r="H78" s="9">
        <f>(0.375 * $B$38 + (1 - 0.375) * $B$37) * $B$36 / 100</f>
        <v>12.5655</v>
      </c>
      <c r="I78" s="9">
        <f>(0.4375 * $B$38 + (1 - 0.4375) * $B$37) * $B$36 / 100</f>
        <v>12.20975</v>
      </c>
      <c r="J78" s="9">
        <f>(0.5 * $B$38 + (1 - 0.5) * $B$37) * $B$36 / 100</f>
        <v>11.853999999999999</v>
      </c>
      <c r="K78" s="9">
        <f>(0.5625 * $B$38 + (1 - 0.5625) * $B$37) * $B$36 / 100</f>
        <v>11.498249999999999</v>
      </c>
      <c r="L78" s="9">
        <f>(0.625 * $B$38 + (1 - 0.625) * $B$37) * $B$36 / 100</f>
        <v>11.142499999999998</v>
      </c>
      <c r="M78" s="9">
        <f>(0.6875 * $B$38 + (1 - 0.6875) * $B$37) * $B$36 / 100</f>
        <v>10.78675</v>
      </c>
      <c r="N78" s="9">
        <f>(0.75 * $B$38 + (1 - 0.75) * $B$37) * $B$36 / 100</f>
        <v>10.430999999999999</v>
      </c>
      <c r="O78" s="9">
        <f>(0.8125 * $B$38 + (1 - 0.8125) * $B$37) * $B$36 / 100</f>
        <v>10.075249999999999</v>
      </c>
      <c r="P78" s="9">
        <f>(0.875 * $B$38 + (1 - 0.875) * $B$37) * $B$36 / 100</f>
        <v>9.7195</v>
      </c>
      <c r="Q78" s="9">
        <f>(0.9375 * $B$38 + (1 - 0.9375) * $B$37) * $B$36 / 100</f>
        <v>9.3637499999999978</v>
      </c>
      <c r="R78" s="10">
        <f>(1 * $B$38 + (1 - 1) * $B$37) * $B$36 / 100</f>
        <v>9.0079999999999991</v>
      </c>
    </row>
    <row r="80" spans="1:18" ht="28.9" customHeight="1" x14ac:dyDescent="0.5">
      <c r="A80" s="1" t="s">
        <v>28</v>
      </c>
      <c r="B80" s="1"/>
    </row>
    <row r="81" spans="1:18" x14ac:dyDescent="0.25">
      <c r="A81" s="24" t="s">
        <v>29</v>
      </c>
      <c r="B81" s="25" t="s">
        <v>30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1:18" x14ac:dyDescent="0.25">
      <c r="A82" s="27" t="s">
        <v>40</v>
      </c>
      <c r="B82" s="28">
        <v>4</v>
      </c>
      <c r="C82" s="28">
        <v>5</v>
      </c>
      <c r="D82" s="28">
        <v>6</v>
      </c>
      <c r="E82" s="28">
        <v>7</v>
      </c>
      <c r="F82" s="28">
        <v>8</v>
      </c>
      <c r="G82" s="28">
        <v>9</v>
      </c>
      <c r="H82" s="28">
        <v>10</v>
      </c>
      <c r="I82" s="28">
        <v>11</v>
      </c>
      <c r="J82" s="28">
        <v>12</v>
      </c>
      <c r="K82" s="28">
        <v>13</v>
      </c>
      <c r="L82" s="28">
        <v>14</v>
      </c>
      <c r="M82" s="28">
        <v>15</v>
      </c>
      <c r="N82" s="28">
        <v>16</v>
      </c>
      <c r="O82" s="28">
        <v>17</v>
      </c>
      <c r="P82" s="28">
        <v>18</v>
      </c>
      <c r="Q82" s="28">
        <v>19</v>
      </c>
      <c r="R82" s="29">
        <v>20</v>
      </c>
    </row>
    <row r="83" spans="1:18" x14ac:dyDescent="0.25">
      <c r="A83" s="30">
        <v>128</v>
      </c>
      <c r="B83" s="31">
        <v>3.9052063143293072</v>
      </c>
      <c r="C83" s="31">
        <v>3.0710755004184032</v>
      </c>
      <c r="D83" s="31">
        <v>2.426458160597837</v>
      </c>
      <c r="E83" s="31">
        <v>1.936326531448328</v>
      </c>
      <c r="F83" s="31">
        <v>1.569235039210644</v>
      </c>
      <c r="G83" s="31">
        <v>1.297320299785625</v>
      </c>
      <c r="H83" s="31">
        <v>1.096301118734164</v>
      </c>
      <c r="I83" s="31">
        <v>0.9454784912772205</v>
      </c>
      <c r="J83" s="31">
        <v>0.82773560229579901</v>
      </c>
      <c r="K83" s="31">
        <v>0.7295378263309813</v>
      </c>
      <c r="L83" s="31">
        <v>0.64093272758390729</v>
      </c>
      <c r="M83" s="31">
        <v>0.55555005991576412</v>
      </c>
      <c r="N83" s="31">
        <v>0.47060176684780869</v>
      </c>
      <c r="O83" s="31">
        <v>0.38688198156135029</v>
      </c>
      <c r="P83" s="31">
        <v>0.30876702689778668</v>
      </c>
      <c r="Q83" s="31">
        <v>0.24421541535853211</v>
      </c>
      <c r="R83" s="32">
        <v>0.2047678491050853</v>
      </c>
    </row>
    <row r="84" spans="1:18" x14ac:dyDescent="0.25">
      <c r="A84" s="30">
        <v>144</v>
      </c>
      <c r="B84" s="31">
        <v>4.014710275784223</v>
      </c>
      <c r="C84" s="31">
        <v>3.154501499196134</v>
      </c>
      <c r="D84" s="31">
        <v>2.4885509257954799</v>
      </c>
      <c r="E84" s="31">
        <v>1.9813720619980431</v>
      </c>
      <c r="F84" s="31">
        <v>1.6010606038796671</v>
      </c>
      <c r="G84" s="31">
        <v>1.3192944371762489</v>
      </c>
      <c r="H84" s="31">
        <v>1.111333637283757</v>
      </c>
      <c r="I84" s="31">
        <v>0.95602046925821194</v>
      </c>
      <c r="J84" s="31">
        <v>0.83577938781569405</v>
      </c>
      <c r="K84" s="31">
        <v>0.73661703733234529</v>
      </c>
      <c r="L84" s="31">
        <v>0.64812225184436945</v>
      </c>
      <c r="M84" s="31">
        <v>0.56346605504803748</v>
      </c>
      <c r="N84" s="31">
        <v>0.47940166029965242</v>
      </c>
      <c r="O84" s="31">
        <v>0.39626447061560932</v>
      </c>
      <c r="P84" s="31">
        <v>0.31797207867235322</v>
      </c>
      <c r="Q84" s="31">
        <v>0.25202426680639067</v>
      </c>
      <c r="R84" s="32">
        <v>0.2095030070142592</v>
      </c>
    </row>
    <row r="85" spans="1:18" x14ac:dyDescent="0.25">
      <c r="A85" s="30">
        <v>160</v>
      </c>
      <c r="B85" s="31">
        <v>4.1269763222611191</v>
      </c>
      <c r="C85" s="31">
        <v>3.2401494059479292</v>
      </c>
      <c r="D85" s="31">
        <v>2.552384145499591</v>
      </c>
      <c r="E85" s="31">
        <v>2.027735317166961</v>
      </c>
      <c r="F85" s="31">
        <v>1.6338398868609429</v>
      </c>
      <c r="G85" s="31">
        <v>1.341917010152506</v>
      </c>
      <c r="H85" s="31">
        <v>1.1267680322726801</v>
      </c>
      <c r="I85" s="31">
        <v>0.9667764881125599</v>
      </c>
      <c r="J85" s="31">
        <v>0.84390810222328538</v>
      </c>
      <c r="K85" s="31">
        <v>0.74371078881607311</v>
      </c>
      <c r="L85" s="31">
        <v>0.65531465176219783</v>
      </c>
      <c r="M85" s="31">
        <v>0.57143198459298272</v>
      </c>
      <c r="N85" s="31">
        <v>0.48835727049980981</v>
      </c>
      <c r="O85" s="31">
        <v>0.40596718233413942</v>
      </c>
      <c r="P85" s="31">
        <v>0.32772058260748332</v>
      </c>
      <c r="Q85" s="31">
        <v>0.26065852349141488</v>
      </c>
      <c r="R85" s="32">
        <v>0.21540424681754539</v>
      </c>
    </row>
    <row r="86" spans="1:18" x14ac:dyDescent="0.25">
      <c r="A86" s="30">
        <v>176</v>
      </c>
      <c r="B86" s="31">
        <v>4.2421243123849974</v>
      </c>
      <c r="C86" s="31">
        <v>3.3281268522203891</v>
      </c>
      <c r="D86" s="31">
        <v>2.61805322417838</v>
      </c>
      <c r="E86" s="31">
        <v>2.0754994743448849</v>
      </c>
      <c r="F86" s="31">
        <v>1.66764383846588</v>
      </c>
      <c r="G86" s="31">
        <v>1.365246741947399</v>
      </c>
      <c r="H86" s="31">
        <v>1.142650799855544</v>
      </c>
      <c r="I86" s="31">
        <v>0.97778081691647412</v>
      </c>
      <c r="J86" s="31">
        <v>0.85214378751639763</v>
      </c>
      <c r="K86" s="31">
        <v>0.75082889570159583</v>
      </c>
      <c r="L86" s="31">
        <v>0.66250751517841078</v>
      </c>
      <c r="M86" s="31">
        <v>0.57943320931323439</v>
      </c>
      <c r="N86" s="31">
        <v>0.49744173113251289</v>
      </c>
      <c r="O86" s="31">
        <v>0.41595102332277811</v>
      </c>
      <c r="P86" s="31">
        <v>0.3379612182306122</v>
      </c>
      <c r="Q86" s="31">
        <v>0.27005463786264272</v>
      </c>
      <c r="R86" s="32">
        <v>0.22239579388554989</v>
      </c>
    </row>
    <row r="87" spans="1:18" x14ac:dyDescent="0.25">
      <c r="A87" s="30">
        <v>192</v>
      </c>
      <c r="B87" s="31">
        <v>4.3602766506885162</v>
      </c>
      <c r="C87" s="31">
        <v>3.4185440154677771</v>
      </c>
      <c r="D87" s="31">
        <v>2.685656112207703</v>
      </c>
      <c r="E87" s="31">
        <v>2.1247502568292771</v>
      </c>
      <c r="F87" s="31">
        <v>1.702545954913544</v>
      </c>
      <c r="G87" s="31">
        <v>1.3893449017016011</v>
      </c>
      <c r="H87" s="31">
        <v>1.1590309820946181</v>
      </c>
      <c r="I87" s="31">
        <v>0.98907027065382402</v>
      </c>
      <c r="J87" s="31">
        <v>0.86051103160049003</v>
      </c>
      <c r="K87" s="31">
        <v>0.75798371881597082</v>
      </c>
      <c r="L87" s="31">
        <v>0.6697009758416711</v>
      </c>
      <c r="M87" s="31">
        <v>0.5874576358790522</v>
      </c>
      <c r="N87" s="31">
        <v>0.50663072178962842</v>
      </c>
      <c r="O87" s="31">
        <v>0.42617944609500041</v>
      </c>
      <c r="P87" s="31">
        <v>0.34864521097680701</v>
      </c>
      <c r="Q87" s="31">
        <v>0.28015160827675328</v>
      </c>
      <c r="R87" s="32">
        <v>0.23040441949658691</v>
      </c>
    </row>
    <row r="88" spans="1:18" x14ac:dyDescent="0.25">
      <c r="A88" s="30">
        <v>208</v>
      </c>
      <c r="B88" s="31">
        <v>4.4815582876119819</v>
      </c>
      <c r="C88" s="31">
        <v>3.5115136190520051</v>
      </c>
      <c r="D88" s="31">
        <v>2.7552933058710778</v>
      </c>
      <c r="E88" s="31">
        <v>2.175575933825256</v>
      </c>
      <c r="F88" s="31">
        <v>1.738622278330648</v>
      </c>
      <c r="G88" s="31">
        <v>1.414275304463426</v>
      </c>
      <c r="H88" s="31">
        <v>1.175960166959821</v>
      </c>
      <c r="I88" s="31">
        <v>1.0006842102161291</v>
      </c>
      <c r="J88" s="31">
        <v>0.8690369682886937</v>
      </c>
      <c r="K88" s="31">
        <v>0.76519016489392766</v>
      </c>
      <c r="L88" s="31">
        <v>0.6768977134083114</v>
      </c>
      <c r="M88" s="31">
        <v>0.59549571686836955</v>
      </c>
      <c r="N88" s="31">
        <v>0.51590246797068839</v>
      </c>
      <c r="O88" s="31">
        <v>0.43661844907192371</v>
      </c>
      <c r="P88" s="31">
        <v>0.35972633218879752</v>
      </c>
      <c r="Q88" s="31">
        <v>0.29089097899807459</v>
      </c>
      <c r="R88" s="32">
        <v>0.23935944083657279</v>
      </c>
    </row>
    <row r="89" spans="1:18" x14ac:dyDescent="0.25">
      <c r="A89" s="30">
        <v>224</v>
      </c>
      <c r="B89" s="31">
        <v>4.6060967195033751</v>
      </c>
      <c r="C89" s="31">
        <v>3.607150932242642</v>
      </c>
      <c r="D89" s="31">
        <v>2.827067847359674</v>
      </c>
      <c r="E89" s="31">
        <v>2.2280673204455899</v>
      </c>
      <c r="F89" s="31">
        <v>1.775951396751569</v>
      </c>
      <c r="G89" s="31">
        <v>1.4401043111888461</v>
      </c>
      <c r="H89" s="31">
        <v>1.1934924883287259</v>
      </c>
      <c r="I89" s="31">
        <v>1.0126645424025611</v>
      </c>
      <c r="J89" s="31">
        <v>0.87775127730177371</v>
      </c>
      <c r="K89" s="31">
        <v>0.77246568657783909</v>
      </c>
      <c r="L89" s="31">
        <v>0.68410295344230398</v>
      </c>
      <c r="M89" s="31">
        <v>0.6035404507667641</v>
      </c>
      <c r="N89" s="31">
        <v>0.52523774108287036</v>
      </c>
      <c r="O89" s="31">
        <v>0.447236576582343</v>
      </c>
      <c r="P89" s="31">
        <v>0.37116089911697803</v>
      </c>
      <c r="Q89" s="31">
        <v>0.30221684019860012</v>
      </c>
      <c r="R89" s="32">
        <v>0.24919272099909409</v>
      </c>
    </row>
    <row r="90" spans="1:18" x14ac:dyDescent="0.25">
      <c r="A90" s="30">
        <v>240</v>
      </c>
      <c r="B90" s="31">
        <v>4.7340219886183084</v>
      </c>
      <c r="C90" s="31">
        <v>3.7055737702169131</v>
      </c>
      <c r="D90" s="31">
        <v>2.9010853247723158</v>
      </c>
      <c r="E90" s="31">
        <v>2.2823177777107122</v>
      </c>
      <c r="F90" s="31">
        <v>1.8146144441183349</v>
      </c>
      <c r="G90" s="31">
        <v>1.4669008287414971</v>
      </c>
      <c r="H90" s="31">
        <v>1.211684625986563</v>
      </c>
      <c r="I90" s="31">
        <v>1.025055719919963</v>
      </c>
      <c r="J90" s="31">
        <v>0.88668618426817492</v>
      </c>
      <c r="K90" s="31">
        <v>0.77983028241774943</v>
      </c>
      <c r="L90" s="31">
        <v>0.69132446741529641</v>
      </c>
      <c r="M90" s="31">
        <v>0.61158738196747908</v>
      </c>
      <c r="N90" s="31">
        <v>0.53461985844101334</v>
      </c>
      <c r="O90" s="31">
        <v>0.45800491886269867</v>
      </c>
      <c r="P90" s="31">
        <v>0.38290777491937972</v>
      </c>
      <c r="Q90" s="31">
        <v>0.31407582795797129</v>
      </c>
      <c r="R90" s="32">
        <v>0.25983866898539892</v>
      </c>
    </row>
    <row r="91" spans="1:18" x14ac:dyDescent="0.25">
      <c r="A91" s="30">
        <v>256</v>
      </c>
      <c r="B91" s="31">
        <v>4.8654666831200624</v>
      </c>
      <c r="C91" s="31">
        <v>3.8069024940596972</v>
      </c>
      <c r="D91" s="31">
        <v>2.9774538721154902</v>
      </c>
      <c r="E91" s="31">
        <v>2.338423212548697</v>
      </c>
      <c r="F91" s="31">
        <v>1.8546951002806309</v>
      </c>
      <c r="G91" s="31">
        <v>1.4947363098926609</v>
      </c>
      <c r="H91" s="31">
        <v>1.2305958056262269</v>
      </c>
      <c r="I91" s="31">
        <v>1.037904741382818</v>
      </c>
      <c r="J91" s="31">
        <v>0.89587646072398286</v>
      </c>
      <c r="K91" s="31">
        <v>0.78730649687133947</v>
      </c>
      <c r="L91" s="31">
        <v>0.6985725727065768</v>
      </c>
      <c r="M91" s="31">
        <v>0.6196346007714022</v>
      </c>
      <c r="N91" s="31">
        <v>0.5440346832676185</v>
      </c>
      <c r="O91" s="31">
        <v>0.46889711205708751</v>
      </c>
      <c r="P91" s="31">
        <v>0.39492836866171482</v>
      </c>
      <c r="Q91" s="31">
        <v>0.3264171242634788</v>
      </c>
      <c r="R91" s="32">
        <v>0.27123423970439481</v>
      </c>
    </row>
    <row r="92" spans="1:18" x14ac:dyDescent="0.25">
      <c r="A92" s="30">
        <v>272</v>
      </c>
      <c r="B92" s="31">
        <v>5.0005659370795783</v>
      </c>
      <c r="C92" s="31">
        <v>3.91126001076353</v>
      </c>
      <c r="D92" s="31">
        <v>3.056284169303328</v>
      </c>
      <c r="E92" s="31">
        <v>2.39648207779529</v>
      </c>
      <c r="F92" s="31">
        <v>1.8962795909957919</v>
      </c>
      <c r="G92" s="31">
        <v>1.5236847533212781</v>
      </c>
      <c r="H92" s="31">
        <v>1.250287798848251</v>
      </c>
      <c r="I92" s="31">
        <v>1.0512611513132699</v>
      </c>
      <c r="J92" s="31">
        <v>0.9053594241129439</v>
      </c>
      <c r="K92" s="31">
        <v>0.79491942030397178</v>
      </c>
      <c r="L92" s="31">
        <v>0.70586013260309</v>
      </c>
      <c r="M92" s="31">
        <v>0.62768274338708985</v>
      </c>
      <c r="N92" s="31">
        <v>0.55347062469283703</v>
      </c>
      <c r="O92" s="31">
        <v>0.47988933821724811</v>
      </c>
      <c r="P92" s="31">
        <v>0.40718663531732352</v>
      </c>
      <c r="Q92" s="31">
        <v>0.33919245701008549</v>
      </c>
      <c r="R92" s="32">
        <v>0.28331893397261959</v>
      </c>
    </row>
    <row r="93" spans="1:18" x14ac:dyDescent="0.25">
      <c r="A93" s="30">
        <v>288</v>
      </c>
      <c r="B93" s="31">
        <v>5.1394574304754297</v>
      </c>
      <c r="C93" s="31">
        <v>4.0187717732285986</v>
      </c>
      <c r="D93" s="31">
        <v>3.1376894421576198</v>
      </c>
      <c r="E93" s="31">
        <v>2.4565953721938749</v>
      </c>
      <c r="F93" s="31">
        <v>1.9394566879288151</v>
      </c>
      <c r="G93" s="31">
        <v>1.553822703613944</v>
      </c>
      <c r="H93" s="31">
        <v>1.2708249231608351</v>
      </c>
      <c r="I93" s="31">
        <v>1.0651770401411109</v>
      </c>
      <c r="J93" s="31">
        <v>0.91517493778645653</v>
      </c>
      <c r="K93" s="31">
        <v>0.80269668898862911</v>
      </c>
      <c r="L93" s="31">
        <v>0.71320255629943408</v>
      </c>
      <c r="M93" s="31">
        <v>0.63573499193073535</v>
      </c>
      <c r="N93" s="31">
        <v>0.56291863775446038</v>
      </c>
      <c r="O93" s="31">
        <v>0.49096032530260031</v>
      </c>
      <c r="P93" s="31">
        <v>0.41964907576721261</v>
      </c>
      <c r="Q93" s="31">
        <v>0.35235610000039219</v>
      </c>
      <c r="R93" s="32">
        <v>0.29603479851429532</v>
      </c>
    </row>
    <row r="94" spans="1:18" x14ac:dyDescent="0.25">
      <c r="A94" s="30">
        <v>304</v>
      </c>
      <c r="B94" s="31">
        <v>5.2822813891938702</v>
      </c>
      <c r="C94" s="31">
        <v>4.1295657802627526</v>
      </c>
      <c r="D94" s="31">
        <v>3.221785462407817</v>
      </c>
      <c r="E94" s="31">
        <v>2.51886664039551</v>
      </c>
      <c r="F94" s="31">
        <v>1.9843177086523489</v>
      </c>
      <c r="G94" s="31">
        <v>1.5852292512649111</v>
      </c>
      <c r="H94" s="31">
        <v>1.292274041979828</v>
      </c>
      <c r="I94" s="31">
        <v>1.079707044203803</v>
      </c>
      <c r="J94" s="31">
        <v>0.92536541100357383</v>
      </c>
      <c r="K94" s="31">
        <v>0.81066848510597522</v>
      </c>
      <c r="L94" s="31">
        <v>0.72061779889787536</v>
      </c>
      <c r="M94" s="31">
        <v>0.64379707442620615</v>
      </c>
      <c r="N94" s="31">
        <v>0.57237222339796667</v>
      </c>
      <c r="O94" s="31">
        <v>0.50209134718020121</v>
      </c>
      <c r="P94" s="31">
        <v>0.43228473680005308</v>
      </c>
      <c r="Q94" s="31">
        <v>0.36586487294467679</v>
      </c>
      <c r="R94" s="32">
        <v>0.30932642596129878</v>
      </c>
    </row>
    <row r="95" spans="1:18" x14ac:dyDescent="0.25">
      <c r="A95" s="30">
        <v>320</v>
      </c>
      <c r="B95" s="31">
        <v>5.4291805850288064</v>
      </c>
      <c r="C95" s="31">
        <v>4.2437725765814962</v>
      </c>
      <c r="D95" s="31">
        <v>3.3086905476910178</v>
      </c>
      <c r="E95" s="31">
        <v>2.5834019729588942</v>
      </c>
      <c r="F95" s="31">
        <v>2.0309565166466998</v>
      </c>
      <c r="G95" s="31">
        <v>1.617986032676084</v>
      </c>
      <c r="H95" s="31">
        <v>1.3147045646287461</v>
      </c>
      <c r="I95" s="31">
        <v>1.094908345746449</v>
      </c>
      <c r="J95" s="31">
        <v>0.93597579893101279</v>
      </c>
      <c r="K95" s="31">
        <v>0.81886753674432522</v>
      </c>
      <c r="L95" s="31">
        <v>0.72812636140833054</v>
      </c>
      <c r="M95" s="31">
        <v>0.6518772648050144</v>
      </c>
      <c r="N95" s="31">
        <v>0.58182742847645497</v>
      </c>
      <c r="O95" s="31">
        <v>0.51326622362477003</v>
      </c>
      <c r="P95" s="31">
        <v>0.44506521111216368</v>
      </c>
      <c r="Q95" s="31">
        <v>0.37967814146084322</v>
      </c>
      <c r="R95" s="32">
        <v>0.32314095485311622</v>
      </c>
    </row>
    <row r="96" spans="1:18" x14ac:dyDescent="0.25">
      <c r="A96" s="30">
        <v>336</v>
      </c>
      <c r="B96" s="31">
        <v>5.5803003356817813</v>
      </c>
      <c r="C96" s="31">
        <v>4.3615252528079793</v>
      </c>
      <c r="D96" s="31">
        <v>3.398525561551986</v>
      </c>
      <c r="E96" s="31">
        <v>2.6503100063503862</v>
      </c>
      <c r="F96" s="31">
        <v>2.07946952129983</v>
      </c>
      <c r="G96" s="31">
        <v>1.6521772301570281</v>
      </c>
      <c r="H96" s="31">
        <v>1.3381884463387479</v>
      </c>
      <c r="I96" s="31">
        <v>1.110840672921823</v>
      </c>
      <c r="J96" s="31">
        <v>0.9470536026431341</v>
      </c>
      <c r="K96" s="31">
        <v>0.82732911789964025</v>
      </c>
      <c r="L96" s="31">
        <v>0.73575129074835288</v>
      </c>
      <c r="M96" s="31">
        <v>0.65998638290633249</v>
      </c>
      <c r="N96" s="31">
        <v>0.5912828457507171</v>
      </c>
      <c r="O96" s="31">
        <v>0.52447132031868016</v>
      </c>
      <c r="P96" s="31">
        <v>0.45796463730751041</v>
      </c>
      <c r="Q96" s="31">
        <v>0.39375781707447988</v>
      </c>
      <c r="R96" s="32">
        <v>0.33742806963696031</v>
      </c>
    </row>
    <row r="97" spans="1:18" x14ac:dyDescent="0.25">
      <c r="A97" s="30">
        <v>352</v>
      </c>
      <c r="B97" s="31">
        <v>5.7357885047620067</v>
      </c>
      <c r="C97" s="31">
        <v>4.4829594454730124</v>
      </c>
      <c r="D97" s="31">
        <v>3.4914139134431239</v>
      </c>
      <c r="E97" s="31">
        <v>2.7197019229439992</v>
      </c>
      <c r="F97" s="31">
        <v>2.1299556779073479</v>
      </c>
      <c r="G97" s="31">
        <v>1.68788957192495</v>
      </c>
      <c r="H97" s="31">
        <v>1.362800188248644</v>
      </c>
      <c r="I97" s="31">
        <v>1.1275662997903311</v>
      </c>
      <c r="J97" s="31">
        <v>0.95864886912195502</v>
      </c>
      <c r="K97" s="31">
        <v>0.83609104847554339</v>
      </c>
      <c r="L97" s="31">
        <v>0.74351817974317658</v>
      </c>
      <c r="M97" s="31">
        <v>0.66813779447697907</v>
      </c>
      <c r="N97" s="31">
        <v>0.60073961388915031</v>
      </c>
      <c r="O97" s="31">
        <v>0.53569554885195292</v>
      </c>
      <c r="P97" s="31">
        <v>0.47095969989770659</v>
      </c>
      <c r="Q97" s="31">
        <v>0.40806835721880558</v>
      </c>
      <c r="R97" s="32">
        <v>0.35214000066762802</v>
      </c>
    </row>
    <row r="98" spans="1:18" x14ac:dyDescent="0.25">
      <c r="A98" s="30">
        <v>368</v>
      </c>
      <c r="B98" s="31">
        <v>5.8957955017863526</v>
      </c>
      <c r="C98" s="31">
        <v>4.6082133370150684</v>
      </c>
      <c r="D98" s="31">
        <v>3.5874815587245088</v>
      </c>
      <c r="E98" s="31">
        <v>2.791691451021403</v>
      </c>
      <c r="F98" s="31">
        <v>2.1825164876725291</v>
      </c>
      <c r="G98" s="31">
        <v>1.7252123321047319</v>
      </c>
      <c r="H98" s="31">
        <v>1.3886168374049199</v>
      </c>
      <c r="I98" s="31">
        <v>1.145150046320055</v>
      </c>
      <c r="J98" s="31">
        <v>0.97081419125715684</v>
      </c>
      <c r="K98" s="31">
        <v>0.84519369428331204</v>
      </c>
      <c r="L98" s="31">
        <v>0.75145516712567439</v>
      </c>
      <c r="M98" s="31">
        <v>0.67634741117144104</v>
      </c>
      <c r="N98" s="31">
        <v>0.61020141746786472</v>
      </c>
      <c r="O98" s="31">
        <v>0.54693036672227902</v>
      </c>
      <c r="P98" s="31">
        <v>0.48402962930208743</v>
      </c>
      <c r="Q98" s="31">
        <v>0.42257676523471588</v>
      </c>
      <c r="R98" s="32">
        <v>0.36723152420765709</v>
      </c>
    </row>
    <row r="99" spans="1:18" x14ac:dyDescent="0.25">
      <c r="A99" s="30">
        <v>384</v>
      </c>
      <c r="B99" s="31">
        <v>6.0604742821793351</v>
      </c>
      <c r="C99" s="31">
        <v>4.7374276557802624</v>
      </c>
      <c r="D99" s="31">
        <v>3.6868569986638589</v>
      </c>
      <c r="E99" s="31">
        <v>2.8663948647719222</v>
      </c>
      <c r="F99" s="31">
        <v>2.2372559977062969</v>
      </c>
      <c r="G99" s="31">
        <v>1.7642373307288961</v>
      </c>
      <c r="H99" s="31">
        <v>1.415717986761696</v>
      </c>
      <c r="I99" s="31">
        <v>1.163659278386723</v>
      </c>
      <c r="J99" s="31">
        <v>0.98360470784606868</v>
      </c>
      <c r="K99" s="31">
        <v>0.85467996704187932</v>
      </c>
      <c r="L99" s="31">
        <v>0.75959293753638324</v>
      </c>
      <c r="M99" s="31">
        <v>0.68463369055183898</v>
      </c>
      <c r="N99" s="31">
        <v>0.61967448697057226</v>
      </c>
      <c r="O99" s="31">
        <v>0.55816977733498729</v>
      </c>
      <c r="P99" s="31">
        <v>0.49715620184754178</v>
      </c>
      <c r="Q99" s="31">
        <v>0.43725259037073982</v>
      </c>
      <c r="R99" s="32">
        <v>0.3826599624271339</v>
      </c>
    </row>
    <row r="100" spans="1:18" x14ac:dyDescent="0.25">
      <c r="A100" s="30">
        <v>400</v>
      </c>
      <c r="B100" s="31">
        <v>6.2299803472731323</v>
      </c>
      <c r="C100" s="31">
        <v>4.8707456760223709</v>
      </c>
      <c r="D100" s="31">
        <v>3.7896712804365542</v>
      </c>
      <c r="E100" s="31">
        <v>2.9439309842925372</v>
      </c>
      <c r="F100" s="31">
        <v>2.2942808010272349</v>
      </c>
      <c r="G100" s="31">
        <v>1.805058933737629</v>
      </c>
      <c r="H100" s="31">
        <v>1.4441857751807561</v>
      </c>
      <c r="I100" s="31">
        <v>1.1831639077737179</v>
      </c>
      <c r="J100" s="31">
        <v>0.99707810359367754</v>
      </c>
      <c r="K100" s="31">
        <v>0.86459532437783571</v>
      </c>
      <c r="L100" s="31">
        <v>0.76796472152349893</v>
      </c>
      <c r="M100" s="31">
        <v>0.69301763608797884</v>
      </c>
      <c r="N100" s="31">
        <v>0.62916759878869055</v>
      </c>
      <c r="O100" s="31">
        <v>0.56941033000308572</v>
      </c>
      <c r="P100" s="31">
        <v>0.51032373976869583</v>
      </c>
      <c r="Q100" s="31">
        <v>0.45206792778307991</v>
      </c>
      <c r="R100" s="32">
        <v>0.39838518340389228</v>
      </c>
    </row>
    <row r="101" spans="1:18" x14ac:dyDescent="0.25">
      <c r="A101" s="30">
        <v>416</v>
      </c>
      <c r="B101" s="31">
        <v>6.4044717443075729</v>
      </c>
      <c r="C101" s="31">
        <v>5.0083132179028338</v>
      </c>
      <c r="D101" s="31">
        <v>3.8960579971256268</v>
      </c>
      <c r="E101" s="31">
        <v>3.02442117558788</v>
      </c>
      <c r="F101" s="31">
        <v>2.3537000365615768</v>
      </c>
      <c r="G101" s="31">
        <v>1.847774052978761</v>
      </c>
      <c r="H101" s="31">
        <v>1.474104887431543</v>
      </c>
      <c r="I101" s="31">
        <v>1.2037363921720881</v>
      </c>
      <c r="J101" s="31">
        <v>1.0112946091126189</v>
      </c>
      <c r="K101" s="31">
        <v>0.87498776982542215</v>
      </c>
      <c r="L101" s="31">
        <v>0.77660629554284977</v>
      </c>
      <c r="M101" s="31">
        <v>0.7015227971573037</v>
      </c>
      <c r="N101" s="31">
        <v>0.63869207522124161</v>
      </c>
      <c r="O101" s="31">
        <v>0.58065111994720553</v>
      </c>
      <c r="P101" s="31">
        <v>0.52351911120777395</v>
      </c>
      <c r="Q101" s="31">
        <v>0.46699741853560528</v>
      </c>
      <c r="R101" s="32">
        <v>0.41436960112336862</v>
      </c>
    </row>
    <row r="102" spans="1:18" x14ac:dyDescent="0.25">
      <c r="A102" s="30">
        <v>432</v>
      </c>
      <c r="B102" s="31">
        <v>6.5841090664301412</v>
      </c>
      <c r="C102" s="31">
        <v>5.1502786474907296</v>
      </c>
      <c r="D102" s="31">
        <v>4.0061532877217658</v>
      </c>
      <c r="E102" s="31">
        <v>3.1079893505702438</v>
      </c>
      <c r="F102" s="31">
        <v>2.415625389143214</v>
      </c>
      <c r="G102" s="31">
        <v>1.8924821462077901</v>
      </c>
      <c r="H102" s="31">
        <v>1.5055625541911439</v>
      </c>
      <c r="I102" s="31">
        <v>1.225451735180517</v>
      </c>
      <c r="J102" s="31">
        <v>1.026317000923199</v>
      </c>
      <c r="K102" s="31">
        <v>0.8859078528265284</v>
      </c>
      <c r="L102" s="31">
        <v>0.78555598195794485</v>
      </c>
      <c r="M102" s="31">
        <v>0.71017526904490147</v>
      </c>
      <c r="N102" s="31">
        <v>0.64826178447493465</v>
      </c>
      <c r="O102" s="31">
        <v>0.59189378829563755</v>
      </c>
      <c r="P102" s="31">
        <v>0.53673173021469367</v>
      </c>
      <c r="Q102" s="31">
        <v>0.48201824959977541</v>
      </c>
      <c r="R102" s="32">
        <v>0.43057817547866489</v>
      </c>
    </row>
    <row r="103" spans="1:18" x14ac:dyDescent="0.25">
      <c r="A103" s="30">
        <v>448</v>
      </c>
      <c r="B103" s="31">
        <v>6.7690554526959854</v>
      </c>
      <c r="C103" s="31">
        <v>5.2967928767628107</v>
      </c>
      <c r="D103" s="31">
        <v>4.1200958371233174</v>
      </c>
      <c r="E103" s="31">
        <v>3.194761967059573</v>
      </c>
      <c r="F103" s="31">
        <v>2.4801710895136941</v>
      </c>
      <c r="G103" s="31">
        <v>1.9392852170878609</v>
      </c>
      <c r="H103" s="31">
        <v>1.5386485520443201</v>
      </c>
      <c r="I103" s="31">
        <v>1.248387486305369</v>
      </c>
      <c r="J103" s="31">
        <v>1.042210601453357</v>
      </c>
      <c r="K103" s="31">
        <v>0.89740866873072089</v>
      </c>
      <c r="L103" s="31">
        <v>0.79485464903993452</v>
      </c>
      <c r="M103" s="31">
        <v>0.7190036929435405</v>
      </c>
      <c r="N103" s="31">
        <v>0.65789314066413407</v>
      </c>
      <c r="O103" s="31">
        <v>0.6031425220843778</v>
      </c>
      <c r="P103" s="31">
        <v>0.54995355674700797</v>
      </c>
      <c r="Q103" s="31">
        <v>0.49711015385479118</v>
      </c>
      <c r="R103" s="32">
        <v>0.44697841227056401</v>
      </c>
    </row>
    <row r="104" spans="1:18" x14ac:dyDescent="0.25">
      <c r="A104" s="30">
        <v>464</v>
      </c>
      <c r="B104" s="31">
        <v>6.9594765880678953</v>
      </c>
      <c r="C104" s="31">
        <v>5.4480093636034619</v>
      </c>
      <c r="D104" s="31">
        <v>4.2380268761362743</v>
      </c>
      <c r="E104" s="31">
        <v>3.2848680287834671</v>
      </c>
      <c r="F104" s="31">
        <v>2.5474539143222201</v>
      </c>
      <c r="G104" s="31">
        <v>1.9882878151897829</v>
      </c>
      <c r="H104" s="31">
        <v>1.5734552034834659</v>
      </c>
      <c r="I104" s="31">
        <v>1.272623740960636</v>
      </c>
      <c r="J104" s="31">
        <v>1.059043279038717</v>
      </c>
      <c r="K104" s="31">
        <v>0.90954585879520422</v>
      </c>
      <c r="L104" s="31">
        <v>0.80454571096764227</v>
      </c>
      <c r="M104" s="31">
        <v>0.72803925595363872</v>
      </c>
      <c r="N104" s="31">
        <v>0.66760510381085147</v>
      </c>
      <c r="O104" s="31">
        <v>0.61440405425702416</v>
      </c>
      <c r="P104" s="31">
        <v>0.56317909666995558</v>
      </c>
      <c r="Q104" s="31">
        <v>0.51225541008746922</v>
      </c>
      <c r="R104" s="32">
        <v>0.46354036320747838</v>
      </c>
    </row>
    <row r="105" spans="1:18" x14ac:dyDescent="0.25">
      <c r="A105" s="30">
        <v>480</v>
      </c>
      <c r="B105" s="31">
        <v>7.1555407034163272</v>
      </c>
      <c r="C105" s="31">
        <v>5.6040841118047471</v>
      </c>
      <c r="D105" s="31">
        <v>4.3600901814743001</v>
      </c>
      <c r="E105" s="31">
        <v>3.3784390853771842</v>
      </c>
      <c r="F105" s="31">
        <v>2.6175931861256481</v>
      </c>
      <c r="G105" s="31">
        <v>2.0395970359920081</v>
      </c>
      <c r="H105" s="31">
        <v>1.6100773769086429</v>
      </c>
      <c r="I105" s="31">
        <v>1.2982431404679859</v>
      </c>
      <c r="J105" s="31">
        <v>1.076885447922534</v>
      </c>
      <c r="K105" s="31">
        <v>0.92237761018483455</v>
      </c>
      <c r="L105" s="31">
        <v>0.81467512782751572</v>
      </c>
      <c r="M105" s="31">
        <v>0.73731569108324024</v>
      </c>
      <c r="N105" s="31">
        <v>0.67741917984474931</v>
      </c>
      <c r="O105" s="31">
        <v>0.62568766366483974</v>
      </c>
      <c r="P105" s="31">
        <v>0.57640540175637678</v>
      </c>
      <c r="Q105" s="31">
        <v>0.52743884299225019</v>
      </c>
      <c r="R105" s="32">
        <v>0.48023662590545158</v>
      </c>
    </row>
    <row r="106" spans="1:18" x14ac:dyDescent="0.25">
      <c r="A106" s="30">
        <v>496</v>
      </c>
      <c r="B106" s="31">
        <v>7.3574185755193824</v>
      </c>
      <c r="C106" s="31">
        <v>5.7651756710663733</v>
      </c>
      <c r="D106" s="31">
        <v>4.4864320757587004</v>
      </c>
      <c r="E106" s="31">
        <v>3.4756092323836318</v>
      </c>
      <c r="F106" s="31">
        <v>2.690710773388489</v>
      </c>
      <c r="G106" s="31">
        <v>2.093322520880653</v>
      </c>
      <c r="H106" s="31">
        <v>1.648612486627568</v>
      </c>
      <c r="I106" s="31">
        <v>1.3253308720567381</v>
      </c>
      <c r="J106" s="31">
        <v>1.0958100682557159</v>
      </c>
      <c r="K106" s="31">
        <v>0.93596465597213818</v>
      </c>
      <c r="L106" s="31">
        <v>0.82529140561368219</v>
      </c>
      <c r="M106" s="31">
        <v>0.74686927724808883</v>
      </c>
      <c r="N106" s="31">
        <v>0.68735942060315303</v>
      </c>
      <c r="O106" s="31">
        <v>0.63700517506675081</v>
      </c>
      <c r="P106" s="31">
        <v>0.5896320696868057</v>
      </c>
      <c r="Q106" s="31">
        <v>0.54264782317128979</v>
      </c>
      <c r="R106" s="32">
        <v>0.49704234388824281</v>
      </c>
    </row>
    <row r="107" spans="1:18" x14ac:dyDescent="0.25">
      <c r="A107" s="30">
        <v>512</v>
      </c>
      <c r="B107" s="31">
        <v>7.5652835270628369</v>
      </c>
      <c r="C107" s="31">
        <v>5.9314451369956984</v>
      </c>
      <c r="D107" s="31">
        <v>4.6172014275184381</v>
      </c>
      <c r="E107" s="31">
        <v>3.5765151112533822</v>
      </c>
      <c r="F107" s="31">
        <v>2.766931090482915</v>
      </c>
      <c r="G107" s="31">
        <v>2.1495764571494869</v>
      </c>
      <c r="H107" s="31">
        <v>1.6891604928556121</v>
      </c>
      <c r="I107" s="31">
        <v>1.353974668863861</v>
      </c>
      <c r="J107" s="31">
        <v>1.115892646096857</v>
      </c>
      <c r="K107" s="31">
        <v>0.95037027513729189</v>
      </c>
      <c r="L107" s="31">
        <v>0.83644559622792058</v>
      </c>
      <c r="M107" s="31">
        <v>0.7567388392715495</v>
      </c>
      <c r="N107" s="31">
        <v>0.69745242383104511</v>
      </c>
      <c r="O107" s="31">
        <v>0.64837095912934128</v>
      </c>
      <c r="P107" s="31">
        <v>0.60286124404943719</v>
      </c>
      <c r="Q107" s="31">
        <v>0.55787226713436389</v>
      </c>
      <c r="R107" s="32">
        <v>0.51393520658724867</v>
      </c>
    </row>
    <row r="108" spans="1:18" x14ac:dyDescent="0.25">
      <c r="A108" s="30">
        <v>528</v>
      </c>
      <c r="B108" s="31">
        <v>7.7793114266400876</v>
      </c>
      <c r="C108" s="31">
        <v>6.1030561511077472</v>
      </c>
      <c r="D108" s="31">
        <v>4.752549651190134</v>
      </c>
      <c r="E108" s="31">
        <v>3.6812959093446471</v>
      </c>
      <c r="F108" s="31">
        <v>2.8463810976887411</v>
      </c>
      <c r="G108" s="31">
        <v>2.2084735779999298</v>
      </c>
      <c r="H108" s="31">
        <v>1.731823901715797</v>
      </c>
      <c r="I108" s="31">
        <v>1.3842648099339789</v>
      </c>
      <c r="J108" s="31">
        <v>1.137211233412164</v>
      </c>
      <c r="K108" s="31">
        <v>0.96566029256811625</v>
      </c>
      <c r="L108" s="31">
        <v>0.84819129747965671</v>
      </c>
      <c r="M108" s="31">
        <v>0.76696574788465266</v>
      </c>
      <c r="N108" s="31">
        <v>0.70772733318104919</v>
      </c>
      <c r="O108" s="31">
        <v>0.6598019324268396</v>
      </c>
      <c r="P108" s="31">
        <v>0.61609761434009003</v>
      </c>
      <c r="Q108" s="31">
        <v>0.57310463729891825</v>
      </c>
      <c r="R108" s="32">
        <v>0.5308954493414646</v>
      </c>
    </row>
    <row r="109" spans="1:18" x14ac:dyDescent="0.25">
      <c r="A109" s="30">
        <v>544</v>
      </c>
      <c r="B109" s="31">
        <v>7.9996806887522212</v>
      </c>
      <c r="C109" s="31">
        <v>6.2801749008251928</v>
      </c>
      <c r="D109" s="31">
        <v>4.892630707118065</v>
      </c>
      <c r="E109" s="31">
        <v>3.790093359923314</v>
      </c>
      <c r="F109" s="31">
        <v>2.929190301193453</v>
      </c>
      <c r="G109" s="31">
        <v>2.2701311625410678</v>
      </c>
      <c r="H109" s="31">
        <v>1.776707765238809</v>
      </c>
      <c r="I109" s="31">
        <v>1.4162941202193799</v>
      </c>
      <c r="J109" s="31">
        <v>1.1598464280755341</v>
      </c>
      <c r="K109" s="31">
        <v>0.98190307906010466</v>
      </c>
      <c r="L109" s="31">
        <v>0.86058465308598442</v>
      </c>
      <c r="M109" s="31">
        <v>0.77759391972610359</v>
      </c>
      <c r="N109" s="31">
        <v>0.71821583821346935</v>
      </c>
      <c r="O109" s="31">
        <v>0.67131755744114419</v>
      </c>
      <c r="P109" s="31">
        <v>0.6293484159622712</v>
      </c>
      <c r="Q109" s="31">
        <v>0.58833994199001438</v>
      </c>
      <c r="R109" s="32">
        <v>0.54790585339761222</v>
      </c>
    </row>
    <row r="110" spans="1:18" x14ac:dyDescent="0.25">
      <c r="A110" s="30">
        <v>560</v>
      </c>
      <c r="B110" s="31">
        <v>8.2265722738079674</v>
      </c>
      <c r="C110" s="31">
        <v>6.4629701194783609</v>
      </c>
      <c r="D110" s="31">
        <v>5.0376011015541664</v>
      </c>
      <c r="E110" s="31">
        <v>3.9030517421629072</v>
      </c>
      <c r="F110" s="31">
        <v>3.01549075309218</v>
      </c>
      <c r="G110" s="31">
        <v>2.3346690357896311</v>
      </c>
      <c r="H110" s="31">
        <v>1.823919681362981</v>
      </c>
      <c r="I110" s="31">
        <v>1.4501579705799941</v>
      </c>
      <c r="J110" s="31">
        <v>1.183881373868503</v>
      </c>
      <c r="K110" s="31">
        <v>0.99916955131639362</v>
      </c>
      <c r="L110" s="31">
        <v>0.87368435267163602</v>
      </c>
      <c r="M110" s="31">
        <v>0.78866981734221864</v>
      </c>
      <c r="N110" s="31">
        <v>0.72895217439622684</v>
      </c>
      <c r="O110" s="31">
        <v>0.68293984256179219</v>
      </c>
      <c r="P110" s="31">
        <v>0.642623430227106</v>
      </c>
      <c r="Q110" s="31">
        <v>0.60357573544043674</v>
      </c>
      <c r="R110" s="32">
        <v>0.56495174591004726</v>
      </c>
    </row>
    <row r="111" spans="1:18" x14ac:dyDescent="0.25">
      <c r="A111" s="30">
        <v>576</v>
      </c>
      <c r="B111" s="31">
        <v>8.4601696881236919</v>
      </c>
      <c r="C111" s="31">
        <v>6.6516130863052352</v>
      </c>
      <c r="D111" s="31">
        <v>5.1876198866580099</v>
      </c>
      <c r="E111" s="31">
        <v>4.0203178811446154</v>
      </c>
      <c r="F111" s="31">
        <v>3.1054170513877071</v>
      </c>
      <c r="G111" s="31">
        <v>2.4022095686700089</v>
      </c>
      <c r="H111" s="31">
        <v>1.8735697939342999</v>
      </c>
      <c r="I111" s="31">
        <v>1.4859542777834169</v>
      </c>
      <c r="J111" s="31">
        <v>1.209401760480258</v>
      </c>
      <c r="K111" s="31">
        <v>1.0175331719477789</v>
      </c>
      <c r="L111" s="31">
        <v>0.88755163176901064</v>
      </c>
      <c r="M111" s="31">
        <v>0.80024244918701992</v>
      </c>
      <c r="N111" s="31">
        <v>0.73997312310494778</v>
      </c>
      <c r="O111" s="31">
        <v>0.69469334208598177</v>
      </c>
      <c r="P111" s="31">
        <v>0.65593498435342379</v>
      </c>
      <c r="Q111" s="31">
        <v>0.61881211779055778</v>
      </c>
      <c r="R111" s="32">
        <v>0.58202099994075596</v>
      </c>
    </row>
    <row r="112" spans="1:18" x14ac:dyDescent="0.25">
      <c r="A112" s="30">
        <v>592</v>
      </c>
      <c r="B112" s="31">
        <v>8.7006589839234572</v>
      </c>
      <c r="C112" s="31">
        <v>6.846277626451462</v>
      </c>
      <c r="D112" s="31">
        <v>5.3428486604968466</v>
      </c>
      <c r="E112" s="31">
        <v>4.1420411478572827</v>
      </c>
      <c r="F112" s="31">
        <v>3.1991063399904869</v>
      </c>
      <c r="G112" s="31">
        <v>2.472877678014251</v>
      </c>
      <c r="H112" s="31">
        <v>1.92577079270642</v>
      </c>
      <c r="I112" s="31">
        <v>1.5237835045049</v>
      </c>
      <c r="J112" s="31">
        <v>1.236495823507654</v>
      </c>
      <c r="K112" s="31">
        <v>1.0370699494727069</v>
      </c>
      <c r="L112" s="31">
        <v>0.90225027181815987</v>
      </c>
      <c r="M112" s="31">
        <v>0.81236336962213995</v>
      </c>
      <c r="N112" s="31">
        <v>0.75131801162285872</v>
      </c>
      <c r="O112" s="31">
        <v>0.70660515621858799</v>
      </c>
      <c r="P112" s="31">
        <v>0.66929795146766069</v>
      </c>
      <c r="Q112" s="31">
        <v>0.63405173508846258</v>
      </c>
      <c r="R112" s="32">
        <v>0.59910403445940486</v>
      </c>
    </row>
    <row r="113" spans="1:18" x14ac:dyDescent="0.25">
      <c r="A113" s="30">
        <v>608</v>
      </c>
      <c r="B113" s="31">
        <v>8.9482287593389351</v>
      </c>
      <c r="C113" s="31">
        <v>7.0471401109703331</v>
      </c>
      <c r="D113" s="31">
        <v>5.5034515670455759</v>
      </c>
      <c r="E113" s="31">
        <v>4.2683734591974094</v>
      </c>
      <c r="F113" s="31">
        <v>3.2966983087186161</v>
      </c>
      <c r="G113" s="31">
        <v>2.5468008265620532</v>
      </c>
      <c r="H113" s="31">
        <v>1.980637913340642</v>
      </c>
      <c r="I113" s="31">
        <v>1.5637486593273371</v>
      </c>
      <c r="J113" s="31">
        <v>1.265254344455188</v>
      </c>
      <c r="K113" s="31">
        <v>1.0578584383172951</v>
      </c>
      <c r="L113" s="31">
        <v>0.91784660016678821</v>
      </c>
      <c r="M113" s="31">
        <v>0.82508667891689969</v>
      </c>
      <c r="N113" s="31">
        <v>0.76302871314089593</v>
      </c>
      <c r="O113" s="31">
        <v>0.71870493107210387</v>
      </c>
      <c r="P113" s="31">
        <v>0.68272975060393859</v>
      </c>
      <c r="Q113" s="31">
        <v>0.64929977928984073</v>
      </c>
      <c r="R113" s="32">
        <v>0.61619381434330833</v>
      </c>
    </row>
    <row r="114" spans="1:18" x14ac:dyDescent="0.25">
      <c r="A114" s="30">
        <v>624</v>
      </c>
      <c r="B114" s="31">
        <v>9.2030701584094974</v>
      </c>
      <c r="C114" s="31">
        <v>7.2543794568227993</v>
      </c>
      <c r="D114" s="31">
        <v>5.6695952961867473</v>
      </c>
      <c r="E114" s="31">
        <v>4.3994692779691427</v>
      </c>
      <c r="F114" s="31">
        <v>3.3983351932978461</v>
      </c>
      <c r="G114" s="31">
        <v>2.624109022960778</v>
      </c>
      <c r="H114" s="31">
        <v>2.0382889374059161</v>
      </c>
      <c r="I114" s="31">
        <v>1.6059552967413051</v>
      </c>
      <c r="J114" s="31">
        <v>1.2957706507350419</v>
      </c>
      <c r="K114" s="31">
        <v>1.079979738815291</v>
      </c>
      <c r="L114" s="31">
        <v>0.93440949007027274</v>
      </c>
      <c r="M114" s="31">
        <v>0.83846902324826567</v>
      </c>
      <c r="N114" s="31">
        <v>0.77514964675761544</v>
      </c>
      <c r="O114" s="31">
        <v>0.73102485866670908</v>
      </c>
      <c r="P114" s="31">
        <v>0.69625034670403541</v>
      </c>
      <c r="Q114" s="31">
        <v>0.6645639882580916</v>
      </c>
      <c r="R114" s="32">
        <v>0.63328585037744389</v>
      </c>
    </row>
    <row r="115" spans="1:18" x14ac:dyDescent="0.25">
      <c r="A115" s="33">
        <v>640</v>
      </c>
      <c r="B115" s="34">
        <v>9.4653768710821282</v>
      </c>
      <c r="C115" s="34">
        <v>7.4681771268774648</v>
      </c>
      <c r="D115" s="34">
        <v>5.841449083710561</v>
      </c>
      <c r="E115" s="34">
        <v>4.535485612884294</v>
      </c>
      <c r="F115" s="34">
        <v>3.504161775361585</v>
      </c>
      <c r="G115" s="34">
        <v>2.7049348217654261</v>
      </c>
      <c r="H115" s="34">
        <v>2.0988441923788601</v>
      </c>
      <c r="I115" s="34">
        <v>1.650511517145</v>
      </c>
      <c r="J115" s="34">
        <v>1.328140615667005</v>
      </c>
      <c r="K115" s="34">
        <v>1.103517497208111</v>
      </c>
      <c r="L115" s="34">
        <v>0.95201036069161205</v>
      </c>
      <c r="M115" s="34">
        <v>0.85256959470084848</v>
      </c>
      <c r="N115" s="34">
        <v>0.78772777747921896</v>
      </c>
      <c r="O115" s="34">
        <v>0.74359967693020779</v>
      </c>
      <c r="P115" s="34">
        <v>0.70988225061734234</v>
      </c>
      <c r="Q115" s="34">
        <v>0.67985464576420873</v>
      </c>
      <c r="R115" s="35">
        <v>0.65037819925443685</v>
      </c>
    </row>
    <row r="118" spans="1:18" ht="28.9" customHeight="1" x14ac:dyDescent="0.5">
      <c r="A118" s="1" t="s">
        <v>31</v>
      </c>
    </row>
    <row r="119" spans="1:18" ht="32.1" customHeight="1" x14ac:dyDescent="0.25"/>
    <row r="120" spans="1:18" x14ac:dyDescent="0.25">
      <c r="A120" s="2"/>
      <c r="B120" s="3"/>
      <c r="C120" s="3"/>
      <c r="D120" s="4"/>
    </row>
    <row r="121" spans="1:18" x14ac:dyDescent="0.25">
      <c r="A121" s="5" t="s">
        <v>32</v>
      </c>
      <c r="B121" s="6">
        <v>1.875</v>
      </c>
      <c r="C121" s="6" t="s">
        <v>12</v>
      </c>
      <c r="D121" s="7"/>
    </row>
    <row r="122" spans="1:18" x14ac:dyDescent="0.25">
      <c r="A122" s="8"/>
      <c r="B122" s="9"/>
      <c r="C122" s="9"/>
      <c r="D122" s="10"/>
    </row>
    <row r="125" spans="1:18" ht="48" customHeight="1" x14ac:dyDescent="0.25">
      <c r="A125" s="21" t="s">
        <v>33</v>
      </c>
      <c r="B125" s="23" t="s">
        <v>34</v>
      </c>
    </row>
    <row r="126" spans="1:18" x14ac:dyDescent="0.25">
      <c r="A126" s="5">
        <v>0</v>
      </c>
      <c r="B126" s="32">
        <v>0.37000000000000011</v>
      </c>
    </row>
    <row r="127" spans="1:18" x14ac:dyDescent="0.25">
      <c r="A127" s="5">
        <v>0.125</v>
      </c>
      <c r="B127" s="32">
        <v>0.37360624999999992</v>
      </c>
    </row>
    <row r="128" spans="1:18" x14ac:dyDescent="0.25">
      <c r="A128" s="5">
        <v>0.25</v>
      </c>
      <c r="B128" s="32">
        <v>0.28381944444444462</v>
      </c>
    </row>
    <row r="129" spans="1:2" x14ac:dyDescent="0.25">
      <c r="A129" s="5">
        <v>0.375</v>
      </c>
      <c r="B129" s="32">
        <v>0.18470669642857149</v>
      </c>
    </row>
    <row r="130" spans="1:2" x14ac:dyDescent="0.25">
      <c r="A130" s="5">
        <v>0.5</v>
      </c>
      <c r="B130" s="32">
        <v>0.13861111111111121</v>
      </c>
    </row>
    <row r="131" spans="1:2" x14ac:dyDescent="0.25">
      <c r="A131" s="5">
        <v>0.625</v>
      </c>
      <c r="B131" s="32">
        <v>0.1207638888888891</v>
      </c>
    </row>
    <row r="132" spans="1:2" x14ac:dyDescent="0.25">
      <c r="A132" s="5">
        <v>0.75</v>
      </c>
      <c r="B132" s="32">
        <v>0.1029166666666668</v>
      </c>
    </row>
    <row r="133" spans="1:2" x14ac:dyDescent="0.25">
      <c r="A133" s="5">
        <v>0.875</v>
      </c>
      <c r="B133" s="32">
        <v>7.3402777777778039E-2</v>
      </c>
    </row>
    <row r="134" spans="1:2" x14ac:dyDescent="0.25">
      <c r="A134" s="5">
        <v>1</v>
      </c>
      <c r="B134" s="32">
        <v>4.7222222222222283E-2</v>
      </c>
    </row>
    <row r="135" spans="1:2" x14ac:dyDescent="0.25">
      <c r="A135" s="5">
        <v>1.125</v>
      </c>
      <c r="B135" s="32">
        <v>2.406250000000033E-2</v>
      </c>
    </row>
    <row r="136" spans="1:2" x14ac:dyDescent="0.25">
      <c r="A136" s="5">
        <v>1.25</v>
      </c>
      <c r="B136" s="32">
        <v>1.7691249050873381E-2</v>
      </c>
    </row>
    <row r="137" spans="1:2" x14ac:dyDescent="0.25">
      <c r="A137" s="5">
        <v>1.375</v>
      </c>
      <c r="B137" s="32">
        <v>1.3727699530516779E-2</v>
      </c>
    </row>
    <row r="138" spans="1:2" x14ac:dyDescent="0.25">
      <c r="A138" s="5">
        <v>1.5</v>
      </c>
      <c r="B138" s="32">
        <v>1.0735849056604071E-2</v>
      </c>
    </row>
    <row r="139" spans="1:2" x14ac:dyDescent="0.25">
      <c r="A139" s="5">
        <v>1.625</v>
      </c>
      <c r="B139" s="32">
        <v>8.2594339622642527E-3</v>
      </c>
    </row>
    <row r="140" spans="1:2" x14ac:dyDescent="0.25">
      <c r="A140" s="5">
        <v>1.75</v>
      </c>
      <c r="B140" s="32">
        <v>5.7830188679246497E-3</v>
      </c>
    </row>
    <row r="141" spans="1:2" x14ac:dyDescent="0.25">
      <c r="A141" s="5">
        <v>1.875</v>
      </c>
      <c r="B141" s="32">
        <v>0</v>
      </c>
    </row>
    <row r="142" spans="1:2" x14ac:dyDescent="0.25">
      <c r="A142" s="5">
        <v>2</v>
      </c>
      <c r="B142" s="32">
        <v>0</v>
      </c>
    </row>
    <row r="143" spans="1:2" x14ac:dyDescent="0.25">
      <c r="A143" s="5">
        <v>2.125</v>
      </c>
      <c r="B143" s="32">
        <v>0</v>
      </c>
    </row>
    <row r="144" spans="1:2" x14ac:dyDescent="0.25">
      <c r="A144" s="5">
        <v>2.25</v>
      </c>
      <c r="B144" s="32">
        <v>0</v>
      </c>
    </row>
    <row r="145" spans="1:2" x14ac:dyDescent="0.25">
      <c r="A145" s="5">
        <v>2.375</v>
      </c>
      <c r="B145" s="32">
        <v>0</v>
      </c>
    </row>
    <row r="146" spans="1:2" x14ac:dyDescent="0.25">
      <c r="A146" s="5">
        <v>2.5</v>
      </c>
      <c r="B146" s="32">
        <v>0</v>
      </c>
    </row>
    <row r="147" spans="1:2" x14ac:dyDescent="0.25">
      <c r="A147" s="5">
        <v>2.625</v>
      </c>
      <c r="B147" s="32">
        <v>0</v>
      </c>
    </row>
    <row r="148" spans="1:2" x14ac:dyDescent="0.25">
      <c r="A148" s="5">
        <v>2.75</v>
      </c>
      <c r="B148" s="32">
        <v>0</v>
      </c>
    </row>
    <row r="149" spans="1:2" x14ac:dyDescent="0.25">
      <c r="A149" s="5">
        <v>2.875</v>
      </c>
      <c r="B149" s="32">
        <v>0</v>
      </c>
    </row>
    <row r="150" spans="1:2" x14ac:dyDescent="0.25">
      <c r="A150" s="5">
        <v>3</v>
      </c>
      <c r="B150" s="32">
        <v>0</v>
      </c>
    </row>
    <row r="151" spans="1:2" x14ac:dyDescent="0.25">
      <c r="A151" s="5">
        <v>3.125</v>
      </c>
      <c r="B151" s="32">
        <v>0</v>
      </c>
    </row>
    <row r="152" spans="1:2" x14ac:dyDescent="0.25">
      <c r="A152" s="5">
        <v>3.25</v>
      </c>
      <c r="B152" s="32">
        <v>0</v>
      </c>
    </row>
    <row r="153" spans="1:2" x14ac:dyDescent="0.25">
      <c r="A153" s="5">
        <v>3.375</v>
      </c>
      <c r="B153" s="32">
        <v>0</v>
      </c>
    </row>
    <row r="154" spans="1:2" x14ac:dyDescent="0.25">
      <c r="A154" s="5">
        <v>3.5</v>
      </c>
      <c r="B154" s="32">
        <v>0</v>
      </c>
    </row>
    <row r="155" spans="1:2" x14ac:dyDescent="0.25">
      <c r="A155" s="5">
        <v>3.625</v>
      </c>
      <c r="B155" s="32">
        <v>0</v>
      </c>
    </row>
    <row r="156" spans="1:2" x14ac:dyDescent="0.25">
      <c r="A156" s="5">
        <v>3.75</v>
      </c>
      <c r="B156" s="32">
        <v>0</v>
      </c>
    </row>
    <row r="157" spans="1:2" x14ac:dyDescent="0.25">
      <c r="A157" s="5">
        <v>3.875</v>
      </c>
      <c r="B157" s="32">
        <v>0</v>
      </c>
    </row>
    <row r="158" spans="1:2" x14ac:dyDescent="0.25">
      <c r="A158" s="8">
        <v>4</v>
      </c>
      <c r="B158" s="35">
        <v>0</v>
      </c>
    </row>
  </sheetData>
  <sheetProtection algorithmName="SHA-512" hashValue="GjMb5oIXhii2wcnKTJZ76vyOPZPAgi3zwjGT2CEsKCnkX+EyNdxDE+0H+pCev2as3oio4MBbX66JuJTUQqO5/Q==" saltValue="Ddv9MhnpBilGobDJcvYNyQ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/>
  <dimension ref="A15:R158"/>
  <sheetViews>
    <sheetView workbookViewId="0">
      <selection activeCell="A13" sqref="A13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41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300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11</v>
      </c>
      <c r="B30" s="6">
        <v>0.46</v>
      </c>
      <c r="C30" s="6" t="s">
        <v>12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13</v>
      </c>
    </row>
    <row r="36" spans="1:5" x14ac:dyDescent="0.25">
      <c r="A36" s="17" t="s">
        <v>14</v>
      </c>
      <c r="B36" s="17">
        <v>100</v>
      </c>
      <c r="C36" s="17" t="s">
        <v>15</v>
      </c>
      <c r="D36" s="17" t="s">
        <v>16</v>
      </c>
      <c r="E36" s="17"/>
    </row>
    <row r="37" spans="1:5" hidden="1" x14ac:dyDescent="0.25">
      <c r="A37" s="17" t="s">
        <v>17</v>
      </c>
      <c r="B37" s="17">
        <v>14.7</v>
      </c>
      <c r="C37" s="17"/>
      <c r="D37" s="17" t="s">
        <v>16</v>
      </c>
      <c r="E37" s="17"/>
    </row>
    <row r="38" spans="1:5" hidden="1" x14ac:dyDescent="0.25">
      <c r="A38" s="17" t="s">
        <v>18</v>
      </c>
      <c r="B38" s="17">
        <v>9.0079999999999991</v>
      </c>
      <c r="C38" s="17"/>
      <c r="D38" s="17" t="s">
        <v>16</v>
      </c>
      <c r="E38" s="17"/>
    </row>
    <row r="40" spans="1:5" ht="48" customHeight="1" x14ac:dyDescent="0.25">
      <c r="A40" s="18" t="s">
        <v>40</v>
      </c>
      <c r="B40" s="19" t="s">
        <v>20</v>
      </c>
      <c r="C40" s="19" t="s">
        <v>21</v>
      </c>
      <c r="D40" s="19" t="s">
        <v>22</v>
      </c>
      <c r="E40" s="20" t="s">
        <v>23</v>
      </c>
    </row>
    <row r="41" spans="1:5" x14ac:dyDescent="0.25">
      <c r="A41" s="5">
        <v>128</v>
      </c>
      <c r="B41" s="6">
        <v>32.438832510451242</v>
      </c>
      <c r="C41" s="6">
        <f>32.4388325104512 * $B$36 / 100</f>
        <v>32.438832510451199</v>
      </c>
      <c r="D41" s="6">
        <v>4.087220810022389</v>
      </c>
      <c r="E41" s="7">
        <f>4.08722081002238 * $B$36 / 100</f>
        <v>4.0872208100223801</v>
      </c>
    </row>
    <row r="42" spans="1:5" x14ac:dyDescent="0.25">
      <c r="A42" s="5">
        <v>148</v>
      </c>
      <c r="B42" s="6">
        <v>34.881173567252311</v>
      </c>
      <c r="C42" s="6">
        <f>34.8811735672523 * $B$36 / 100</f>
        <v>34.881173567252297</v>
      </c>
      <c r="D42" s="6">
        <v>4.3949503557547516</v>
      </c>
      <c r="E42" s="7">
        <f>4.39495035575475 * $B$36 / 100</f>
        <v>4.3949503557547498</v>
      </c>
    </row>
    <row r="43" spans="1:5" x14ac:dyDescent="0.25">
      <c r="A43" s="5">
        <v>168</v>
      </c>
      <c r="B43" s="6">
        <v>37.163351358784297</v>
      </c>
      <c r="C43" s="6">
        <f>37.1633513587843 * $B$36 / 100</f>
        <v>37.163351358784297</v>
      </c>
      <c r="D43" s="6">
        <v>4.68249968598158</v>
      </c>
      <c r="E43" s="7">
        <f>4.68249968598158 * $B$36 / 100</f>
        <v>4.68249968598158</v>
      </c>
    </row>
    <row r="44" spans="1:5" x14ac:dyDescent="0.25">
      <c r="A44" s="5">
        <v>188</v>
      </c>
      <c r="B44" s="6">
        <v>39.313268739754108</v>
      </c>
      <c r="C44" s="6">
        <f>39.3132687397541 * $B$36 / 100</f>
        <v>39.313268739754101</v>
      </c>
      <c r="D44" s="6">
        <v>4.953384498389596</v>
      </c>
      <c r="E44" s="7">
        <f>4.95338449838959 * $B$36 / 100</f>
        <v>4.9533844983895898</v>
      </c>
    </row>
    <row r="45" spans="1:5" x14ac:dyDescent="0.25">
      <c r="A45" s="5">
        <v>208</v>
      </c>
      <c r="B45" s="6">
        <v>41.351559992239721</v>
      </c>
      <c r="C45" s="6">
        <f>41.3515599922397 * $B$36 / 100</f>
        <v>41.3515599922397</v>
      </c>
      <c r="D45" s="6">
        <v>5.2102046666666659</v>
      </c>
      <c r="E45" s="7">
        <f>5.21020466666666 * $B$36 / 100</f>
        <v>5.2102046666666588</v>
      </c>
    </row>
    <row r="46" spans="1:5" x14ac:dyDescent="0.25">
      <c r="A46" s="5">
        <v>228</v>
      </c>
      <c r="B46" s="6">
        <v>43.267360976384069</v>
      </c>
      <c r="C46" s="6">
        <f>43.267360976384 * $B$36 / 100</f>
        <v>43.267360976383998</v>
      </c>
      <c r="D46" s="6">
        <v>5.4515913333333339</v>
      </c>
      <c r="E46" s="7">
        <f>5.45159133333333 * $B$36 / 100</f>
        <v>5.4515913333333295</v>
      </c>
    </row>
    <row r="47" spans="1:5" x14ac:dyDescent="0.25">
      <c r="A47" s="5">
        <v>248</v>
      </c>
      <c r="B47" s="6">
        <v>45.183161960528409</v>
      </c>
      <c r="C47" s="6">
        <f>45.1831619605284 * $B$36 / 100</f>
        <v>45.183161960528402</v>
      </c>
      <c r="D47" s="6">
        <v>5.692978000000001</v>
      </c>
      <c r="E47" s="7">
        <f>5.692978 * $B$36 / 100</f>
        <v>5.6929780000000001</v>
      </c>
    </row>
    <row r="48" spans="1:5" x14ac:dyDescent="0.25">
      <c r="A48" s="5">
        <v>268</v>
      </c>
      <c r="B48" s="6">
        <v>47.098962944672749</v>
      </c>
      <c r="C48" s="6">
        <f>47.0989629446727 * $B$36 / 100</f>
        <v>47.098962944672706</v>
      </c>
      <c r="D48" s="6">
        <v>5.9343646666666672</v>
      </c>
      <c r="E48" s="7">
        <f>5.93436466666666 * $B$36 / 100</f>
        <v>5.9343646666666601</v>
      </c>
    </row>
    <row r="49" spans="1:5" x14ac:dyDescent="0.25">
      <c r="A49" s="5">
        <v>288</v>
      </c>
      <c r="B49" s="6">
        <v>49.014763928817104</v>
      </c>
      <c r="C49" s="6">
        <f>49.014763928817 * $B$36 / 100</f>
        <v>49.014763928817004</v>
      </c>
      <c r="D49" s="6">
        <v>6.1757513333333343</v>
      </c>
      <c r="E49" s="7">
        <f>6.17575133333333 * $B$36 / 100</f>
        <v>6.1757513333333289</v>
      </c>
    </row>
    <row r="50" spans="1:5" x14ac:dyDescent="0.25">
      <c r="A50" s="5">
        <v>308</v>
      </c>
      <c r="B50" s="6">
        <v>50.820097356214397</v>
      </c>
      <c r="C50" s="6">
        <f>50.8200973562144 * $B$36 / 100</f>
        <v>50.820097356214404</v>
      </c>
      <c r="D50" s="6">
        <v>6.4032193333333343</v>
      </c>
      <c r="E50" s="7">
        <f>6.40321933333333 * $B$36 / 100</f>
        <v>6.4032193333333289</v>
      </c>
    </row>
    <row r="51" spans="1:5" x14ac:dyDescent="0.25">
      <c r="A51" s="5">
        <v>328</v>
      </c>
      <c r="B51" s="6">
        <v>52.45972944849116</v>
      </c>
      <c r="C51" s="6">
        <f>52.4597294484911 * $B$36 / 100</f>
        <v>52.45972944849111</v>
      </c>
      <c r="D51" s="6">
        <v>6.6098093333333336</v>
      </c>
      <c r="E51" s="7">
        <f>6.60980933333333 * $B$36 / 100</f>
        <v>6.6098093333333301</v>
      </c>
    </row>
    <row r="52" spans="1:5" x14ac:dyDescent="0.25">
      <c r="A52" s="5">
        <v>348</v>
      </c>
      <c r="B52" s="6">
        <v>54.099361540767923</v>
      </c>
      <c r="C52" s="6">
        <f>54.0993615407679 * $B$36 / 100</f>
        <v>54.099361540767902</v>
      </c>
      <c r="D52" s="6">
        <v>6.8163993333333339</v>
      </c>
      <c r="E52" s="7">
        <f>6.81639933333333 * $B$36 / 100</f>
        <v>6.8163993333333304</v>
      </c>
    </row>
    <row r="53" spans="1:5" x14ac:dyDescent="0.25">
      <c r="A53" s="5">
        <v>368</v>
      </c>
      <c r="B53" s="6">
        <v>55.738993633044679</v>
      </c>
      <c r="C53" s="6">
        <f>55.7389936330446 * $B$36 / 100</f>
        <v>55.738993633044601</v>
      </c>
      <c r="D53" s="6">
        <v>7.0229893333333342</v>
      </c>
      <c r="E53" s="7">
        <f>7.02298933333333 * $B$36 / 100</f>
        <v>7.0229893333333306</v>
      </c>
    </row>
    <row r="54" spans="1:5" x14ac:dyDescent="0.25">
      <c r="A54" s="5">
        <v>388</v>
      </c>
      <c r="B54" s="6">
        <v>57.378625725321442</v>
      </c>
      <c r="C54" s="6">
        <f>57.3786257253214 * $B$36 / 100</f>
        <v>57.378625725321399</v>
      </c>
      <c r="D54" s="6">
        <v>7.2295793333333336</v>
      </c>
      <c r="E54" s="7">
        <f>7.22957933333333 * $B$36 / 100</f>
        <v>7.22957933333333</v>
      </c>
    </row>
    <row r="55" spans="1:5" x14ac:dyDescent="0.25">
      <c r="A55" s="5">
        <v>408</v>
      </c>
      <c r="B55" s="6">
        <v>58.925557769978312</v>
      </c>
      <c r="C55" s="6">
        <f>58.9255577699783 * $B$36 / 100</f>
        <v>58.925557769978298</v>
      </c>
      <c r="D55" s="6">
        <v>7.4244893333333346</v>
      </c>
      <c r="E55" s="7">
        <f>7.42448933333333 * $B$36 / 100</f>
        <v>7.4244893333333302</v>
      </c>
    </row>
    <row r="56" spans="1:5" x14ac:dyDescent="0.25">
      <c r="A56" s="5">
        <v>428</v>
      </c>
      <c r="B56" s="6">
        <v>60.333439743205354</v>
      </c>
      <c r="C56" s="6">
        <f>60.3334397432053 * $B$36 / 100</f>
        <v>60.333439743205297</v>
      </c>
      <c r="D56" s="6">
        <v>7.6018793333333328</v>
      </c>
      <c r="E56" s="7">
        <f>7.60187933333333 * $B$36 / 100</f>
        <v>7.6018793333333301</v>
      </c>
    </row>
    <row r="57" spans="1:5" x14ac:dyDescent="0.25">
      <c r="A57" s="5">
        <v>448</v>
      </c>
      <c r="B57" s="6">
        <v>61.741321716432388</v>
      </c>
      <c r="C57" s="6">
        <f>61.7413217164323 * $B$36 / 100</f>
        <v>61.741321716432303</v>
      </c>
      <c r="D57" s="6">
        <v>7.7792693333333327</v>
      </c>
      <c r="E57" s="7">
        <f>7.77926933333333 * $B$36 / 100</f>
        <v>7.7792693333333292</v>
      </c>
    </row>
    <row r="58" spans="1:5" x14ac:dyDescent="0.25">
      <c r="A58" s="5">
        <v>468</v>
      </c>
      <c r="B58" s="6">
        <v>63.14920368965943</v>
      </c>
      <c r="C58" s="6">
        <f>63.1492036896594 * $B$36 / 100</f>
        <v>63.149203689659402</v>
      </c>
      <c r="D58" s="6">
        <v>7.9566593333333326</v>
      </c>
      <c r="E58" s="7">
        <f>7.95665933333333 * $B$36 / 100</f>
        <v>7.95665933333333</v>
      </c>
    </row>
    <row r="59" spans="1:5" x14ac:dyDescent="0.25">
      <c r="A59" s="5">
        <v>488</v>
      </c>
      <c r="B59" s="6">
        <v>64.557085662886465</v>
      </c>
      <c r="C59" s="6">
        <f>64.5570856628864 * $B$36 / 100</f>
        <v>64.557085662886394</v>
      </c>
      <c r="D59" s="6">
        <v>8.1340493333333317</v>
      </c>
      <c r="E59" s="7">
        <f>8.13404933333333 * $B$36 / 100</f>
        <v>8.1340493333333299</v>
      </c>
    </row>
    <row r="60" spans="1:5" x14ac:dyDescent="0.25">
      <c r="A60" s="5">
        <v>508</v>
      </c>
      <c r="B60" s="6">
        <v>65.88076509285878</v>
      </c>
      <c r="C60" s="6">
        <f>65.8807650928587 * $B$36 / 100</f>
        <v>65.880765092858695</v>
      </c>
      <c r="D60" s="6">
        <v>8.3008299999999995</v>
      </c>
      <c r="E60" s="7">
        <f>8.30083 * $B$36 / 100</f>
        <v>8.3008299999999995</v>
      </c>
    </row>
    <row r="61" spans="1:5" x14ac:dyDescent="0.25">
      <c r="A61" s="5">
        <v>528</v>
      </c>
      <c r="B61" s="6">
        <v>67.07814070794899</v>
      </c>
      <c r="C61" s="6">
        <f>67.0781407079489 * $B$36 / 100</f>
        <v>67.078140707948904</v>
      </c>
      <c r="D61" s="6">
        <v>8.4516966666666651</v>
      </c>
      <c r="E61" s="7">
        <f>8.45169666666666 * $B$36 / 100</f>
        <v>8.4516966666666598</v>
      </c>
    </row>
    <row r="62" spans="1:5" x14ac:dyDescent="0.25">
      <c r="A62" s="5">
        <v>548</v>
      </c>
      <c r="B62" s="6">
        <v>68.275516323039199</v>
      </c>
      <c r="C62" s="6">
        <f>68.2755163230392 * $B$36 / 100</f>
        <v>68.275516323039199</v>
      </c>
      <c r="D62" s="6">
        <v>8.6025633333333325</v>
      </c>
      <c r="E62" s="7">
        <f>8.60256333333333 * $B$36 / 100</f>
        <v>8.6025633333333307</v>
      </c>
    </row>
    <row r="63" spans="1:5" x14ac:dyDescent="0.25">
      <c r="A63" s="5">
        <v>568</v>
      </c>
      <c r="B63" s="6">
        <v>69.472891938129422</v>
      </c>
      <c r="C63" s="6">
        <f>69.4728919381294 * $B$36 / 100</f>
        <v>69.472891938129393</v>
      </c>
      <c r="D63" s="6">
        <v>8.7534299999999998</v>
      </c>
      <c r="E63" s="7">
        <f>8.75343 * $B$36 / 100</f>
        <v>8.7534299999999998</v>
      </c>
    </row>
    <row r="64" spans="1:5" x14ac:dyDescent="0.25">
      <c r="A64" s="5">
        <v>588</v>
      </c>
      <c r="B64" s="6">
        <v>70.670267553219631</v>
      </c>
      <c r="C64" s="6">
        <f>70.6702675532196 * $B$36 / 100</f>
        <v>70.670267553219603</v>
      </c>
      <c r="D64" s="6">
        <v>8.9042966666666654</v>
      </c>
      <c r="E64" s="7">
        <f>8.90429666666666 * $B$36 / 100</f>
        <v>8.9042966666666601</v>
      </c>
    </row>
    <row r="65" spans="1:18" x14ac:dyDescent="0.25">
      <c r="A65" s="5">
        <v>608</v>
      </c>
      <c r="B65" s="6">
        <v>71.862093024544308</v>
      </c>
      <c r="C65" s="6">
        <f>71.8620930245443 * $B$36 / 100</f>
        <v>71.862093024544293</v>
      </c>
      <c r="D65" s="6">
        <v>9.0544640275525285</v>
      </c>
      <c r="E65" s="7">
        <f>9.05446402755252 * $B$36 / 100</f>
        <v>9.0544640275525197</v>
      </c>
    </row>
    <row r="66" spans="1:18" x14ac:dyDescent="0.25">
      <c r="A66" s="5">
        <v>628</v>
      </c>
      <c r="B66" s="6">
        <v>73.034472077867974</v>
      </c>
      <c r="C66" s="6">
        <f>73.0344720778679 * $B$36 / 100</f>
        <v>73.034472077867903</v>
      </c>
      <c r="D66" s="6">
        <v>9.202181182984523</v>
      </c>
      <c r="E66" s="7">
        <f>9.20218118298452 * $B$36 / 100</f>
        <v>9.2021811829845195</v>
      </c>
    </row>
    <row r="67" spans="1:18" x14ac:dyDescent="0.25">
      <c r="A67" s="5">
        <v>648</v>
      </c>
      <c r="B67" s="6">
        <v>74.188326639151853</v>
      </c>
      <c r="C67" s="6">
        <f>74.1883266391518 * $B$36 / 100</f>
        <v>74.188326639151796</v>
      </c>
      <c r="D67" s="6">
        <v>9.3475642935850463</v>
      </c>
      <c r="E67" s="7">
        <f>9.34756429358504 * $B$36 / 100</f>
        <v>9.3475642935850392</v>
      </c>
    </row>
    <row r="68" spans="1:18" x14ac:dyDescent="0.25">
      <c r="A68" s="5">
        <v>668</v>
      </c>
      <c r="B68" s="6">
        <v>75.324508012612355</v>
      </c>
      <c r="C68" s="6">
        <f>75.3245080126123 * $B$36 / 100</f>
        <v>75.324508012612299</v>
      </c>
      <c r="D68" s="6">
        <v>9.4907206217935727</v>
      </c>
      <c r="E68" s="7">
        <f>9.49072062179357 * $B$36 / 100</f>
        <v>9.4907206217935691</v>
      </c>
    </row>
    <row r="69" spans="1:18" x14ac:dyDescent="0.25">
      <c r="A69" s="5">
        <v>688</v>
      </c>
      <c r="B69" s="6">
        <v>76.443804230079479</v>
      </c>
      <c r="C69" s="6">
        <f>76.4438042300794 * $B$36 / 100</f>
        <v>76.443804230079394</v>
      </c>
      <c r="D69" s="6">
        <v>9.6317494578695033</v>
      </c>
      <c r="E69" s="7">
        <f>9.6317494578695 * $B$36 / 100</f>
        <v>9.6317494578694998</v>
      </c>
    </row>
    <row r="70" spans="1:18" x14ac:dyDescent="0.25">
      <c r="A70" s="5">
        <v>708</v>
      </c>
      <c r="B70" s="6">
        <v>77.546946445307128</v>
      </c>
      <c r="C70" s="6">
        <f>77.5469464453071 * $B$36 / 100</f>
        <v>77.5469464453071</v>
      </c>
      <c r="D70" s="6">
        <v>9.7707429255610414</v>
      </c>
      <c r="E70" s="7">
        <f>9.77074292556104 * $B$36 / 100</f>
        <v>9.7707429255610396</v>
      </c>
    </row>
    <row r="71" spans="1:18" x14ac:dyDescent="0.25">
      <c r="A71" s="5">
        <v>728</v>
      </c>
      <c r="B71" s="6">
        <v>78.634614520680046</v>
      </c>
      <c r="C71" s="6">
        <f>78.63461452068 * $B$36 / 100</f>
        <v>78.634614520680003</v>
      </c>
      <c r="D71" s="6">
        <v>9.9077866860178627</v>
      </c>
      <c r="E71" s="7">
        <f>9.90778668601786 * $B$36 / 100</f>
        <v>9.9077866860178592</v>
      </c>
    </row>
    <row r="72" spans="1:18" x14ac:dyDescent="0.25">
      <c r="A72" s="5">
        <v>748</v>
      </c>
      <c r="B72" s="6">
        <v>79.707441927592683</v>
      </c>
      <c r="C72" s="6">
        <f>79.7074419275926 * $B$36 / 100</f>
        <v>79.707441927592598</v>
      </c>
      <c r="D72" s="6">
        <v>10.04296055522795</v>
      </c>
      <c r="E72" s="7">
        <f>10.0429605552279 * $B$36 / 100</f>
        <v>10.0429605552279</v>
      </c>
    </row>
    <row r="73" spans="1:18" x14ac:dyDescent="0.25">
      <c r="A73" s="8">
        <v>768</v>
      </c>
      <c r="B73" s="9">
        <v>80.766020060822427</v>
      </c>
      <c r="C73" s="9">
        <f>80.7660200608224 * $B$36 / 100</f>
        <v>80.766020060822399</v>
      </c>
      <c r="D73" s="9">
        <v>10.176339047619051</v>
      </c>
      <c r="E73" s="10">
        <f>10.176339047619 * $B$36 / 100</f>
        <v>10.176339047619001</v>
      </c>
    </row>
    <row r="75" spans="1:18" ht="28.9" customHeight="1" x14ac:dyDescent="0.5">
      <c r="A75" s="1" t="s">
        <v>24</v>
      </c>
      <c r="B75" s="1"/>
    </row>
    <row r="76" spans="1:18" x14ac:dyDescent="0.25">
      <c r="A76" s="21" t="s">
        <v>25</v>
      </c>
      <c r="B76" s="22">
        <v>0</v>
      </c>
      <c r="C76" s="22">
        <v>6.25</v>
      </c>
      <c r="D76" s="22">
        <v>12.5</v>
      </c>
      <c r="E76" s="22">
        <v>18.75</v>
      </c>
      <c r="F76" s="22">
        <v>25</v>
      </c>
      <c r="G76" s="22">
        <v>31.25</v>
      </c>
      <c r="H76" s="22">
        <v>37.5</v>
      </c>
      <c r="I76" s="22">
        <v>43.75</v>
      </c>
      <c r="J76" s="22">
        <v>50</v>
      </c>
      <c r="K76" s="22">
        <v>56.25</v>
      </c>
      <c r="L76" s="22">
        <v>62.5</v>
      </c>
      <c r="M76" s="22">
        <v>68.75</v>
      </c>
      <c r="N76" s="22">
        <v>75</v>
      </c>
      <c r="O76" s="22">
        <v>81.25</v>
      </c>
      <c r="P76" s="22">
        <v>87.5</v>
      </c>
      <c r="Q76" s="22">
        <v>93.75</v>
      </c>
      <c r="R76" s="23">
        <v>100</v>
      </c>
    </row>
    <row r="77" spans="1:18" x14ac:dyDescent="0.25">
      <c r="A77" s="5" t="s">
        <v>26</v>
      </c>
      <c r="B77" s="6">
        <f>0 * $B$38 + (1 - 0) * $B$37</f>
        <v>14.7</v>
      </c>
      <c r="C77" s="6">
        <f>0.0625 * $B$38 + (1 - 0.0625) * $B$37</f>
        <v>14.344250000000001</v>
      </c>
      <c r="D77" s="6">
        <f>0.125 * $B$38 + (1 - 0.125) * $B$37</f>
        <v>13.988499999999998</v>
      </c>
      <c r="E77" s="6">
        <f>0.1875 * $B$38 + (1 - 0.1875) * $B$37</f>
        <v>13.63275</v>
      </c>
      <c r="F77" s="6">
        <f>0.25 * $B$38 + (1 - 0.25) * $B$37</f>
        <v>13.276999999999997</v>
      </c>
      <c r="G77" s="6">
        <f>0.3125 * $B$38 + (1 - 0.3125) * $B$37</f>
        <v>12.921249999999999</v>
      </c>
      <c r="H77" s="6">
        <f>0.375 * $B$38 + (1 - 0.375) * $B$37</f>
        <v>12.5655</v>
      </c>
      <c r="I77" s="6">
        <f>0.4375 * $B$38 + (1 - 0.4375) * $B$37</f>
        <v>12.20975</v>
      </c>
      <c r="J77" s="6">
        <f>0.5 * $B$38 + (1 - 0.5) * $B$37</f>
        <v>11.853999999999999</v>
      </c>
      <c r="K77" s="6">
        <f>0.5625 * $B$38 + (1 - 0.5625) * $B$37</f>
        <v>11.498249999999999</v>
      </c>
      <c r="L77" s="6">
        <f>0.625 * $B$38 + (1 - 0.625) * $B$37</f>
        <v>11.142499999999998</v>
      </c>
      <c r="M77" s="6">
        <f>0.6875 * $B$38 + (1 - 0.6875) * $B$37</f>
        <v>10.78675</v>
      </c>
      <c r="N77" s="6">
        <f>0.75 * $B$38 + (1 - 0.75) * $B$37</f>
        <v>10.430999999999999</v>
      </c>
      <c r="O77" s="6">
        <f>0.8125 * $B$38 + (1 - 0.8125) * $B$37</f>
        <v>10.075249999999999</v>
      </c>
      <c r="P77" s="6">
        <f>0.875 * $B$38 + (1 - 0.875) * $B$37</f>
        <v>9.7195</v>
      </c>
      <c r="Q77" s="6">
        <f>0.9375 * $B$38 + (1 - 0.9375) * $B$37</f>
        <v>9.3637499999999978</v>
      </c>
      <c r="R77" s="7">
        <f>1 * $B$38 + (1 - 1) * $B$37</f>
        <v>9.0079999999999991</v>
      </c>
    </row>
    <row r="78" spans="1:18" x14ac:dyDescent="0.25">
      <c r="A78" s="8" t="s">
        <v>27</v>
      </c>
      <c r="B78" s="9">
        <f>(0 * $B$38 + (1 - 0) * $B$37) * $B$36 / 100</f>
        <v>14.7</v>
      </c>
      <c r="C78" s="9">
        <f>(0.0625 * $B$38 + (1 - 0.0625) * $B$37) * $B$36 / 100</f>
        <v>14.344249999999999</v>
      </c>
      <c r="D78" s="9">
        <f>(0.125 * $B$38 + (1 - 0.125) * $B$37) * $B$36 / 100</f>
        <v>13.988499999999998</v>
      </c>
      <c r="E78" s="9">
        <f>(0.1875 * $B$38 + (1 - 0.1875) * $B$37) * $B$36 / 100</f>
        <v>13.632749999999998</v>
      </c>
      <c r="F78" s="9">
        <f>(0.25 * $B$38 + (1 - 0.25) * $B$37) * $B$36 / 100</f>
        <v>13.276999999999997</v>
      </c>
      <c r="G78" s="9">
        <f>(0.3125 * $B$38 + (1 - 0.3125) * $B$37) * $B$36 / 100</f>
        <v>12.921249999999997</v>
      </c>
      <c r="H78" s="9">
        <f>(0.375 * $B$38 + (1 - 0.375) * $B$37) * $B$36 / 100</f>
        <v>12.5655</v>
      </c>
      <c r="I78" s="9">
        <f>(0.4375 * $B$38 + (1 - 0.4375) * $B$37) * $B$36 / 100</f>
        <v>12.20975</v>
      </c>
      <c r="J78" s="9">
        <f>(0.5 * $B$38 + (1 - 0.5) * $B$37) * $B$36 / 100</f>
        <v>11.853999999999999</v>
      </c>
      <c r="K78" s="9">
        <f>(0.5625 * $B$38 + (1 - 0.5625) * $B$37) * $B$36 / 100</f>
        <v>11.498249999999999</v>
      </c>
      <c r="L78" s="9">
        <f>(0.625 * $B$38 + (1 - 0.625) * $B$37) * $B$36 / 100</f>
        <v>11.142499999999998</v>
      </c>
      <c r="M78" s="9">
        <f>(0.6875 * $B$38 + (1 - 0.6875) * $B$37) * $B$36 / 100</f>
        <v>10.78675</v>
      </c>
      <c r="N78" s="9">
        <f>(0.75 * $B$38 + (1 - 0.75) * $B$37) * $B$36 / 100</f>
        <v>10.430999999999999</v>
      </c>
      <c r="O78" s="9">
        <f>(0.8125 * $B$38 + (1 - 0.8125) * $B$37) * $B$36 / 100</f>
        <v>10.075249999999999</v>
      </c>
      <c r="P78" s="9">
        <f>(0.875 * $B$38 + (1 - 0.875) * $B$37) * $B$36 / 100</f>
        <v>9.7195</v>
      </c>
      <c r="Q78" s="9">
        <f>(0.9375 * $B$38 + (1 - 0.9375) * $B$37) * $B$36 / 100</f>
        <v>9.3637499999999978</v>
      </c>
      <c r="R78" s="10">
        <f>(1 * $B$38 + (1 - 1) * $B$37) * $B$36 / 100</f>
        <v>9.0079999999999991</v>
      </c>
    </row>
    <row r="80" spans="1:18" ht="28.9" customHeight="1" x14ac:dyDescent="0.5">
      <c r="A80" s="1" t="s">
        <v>28</v>
      </c>
      <c r="B80" s="1"/>
    </row>
    <row r="81" spans="1:18" x14ac:dyDescent="0.25">
      <c r="A81" s="24" t="s">
        <v>29</v>
      </c>
      <c r="B81" s="25" t="s">
        <v>30</v>
      </c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6"/>
    </row>
    <row r="82" spans="1:18" x14ac:dyDescent="0.25">
      <c r="A82" s="27" t="s">
        <v>40</v>
      </c>
      <c r="B82" s="28">
        <v>4</v>
      </c>
      <c r="C82" s="28">
        <v>5</v>
      </c>
      <c r="D82" s="28">
        <v>6</v>
      </c>
      <c r="E82" s="28">
        <v>7</v>
      </c>
      <c r="F82" s="28">
        <v>8</v>
      </c>
      <c r="G82" s="28">
        <v>9</v>
      </c>
      <c r="H82" s="28">
        <v>10</v>
      </c>
      <c r="I82" s="28">
        <v>11</v>
      </c>
      <c r="J82" s="28">
        <v>12</v>
      </c>
      <c r="K82" s="28">
        <v>13</v>
      </c>
      <c r="L82" s="28">
        <v>14</v>
      </c>
      <c r="M82" s="28">
        <v>15</v>
      </c>
      <c r="N82" s="28">
        <v>16</v>
      </c>
      <c r="O82" s="28">
        <v>17</v>
      </c>
      <c r="P82" s="28">
        <v>18</v>
      </c>
      <c r="Q82" s="28">
        <v>19</v>
      </c>
      <c r="R82" s="29">
        <v>20</v>
      </c>
    </row>
    <row r="83" spans="1:18" x14ac:dyDescent="0.25">
      <c r="A83" s="30">
        <v>128</v>
      </c>
      <c r="B83" s="31">
        <v>3.9052063143293081</v>
      </c>
      <c r="C83" s="31">
        <v>3.071075500418404</v>
      </c>
      <c r="D83" s="31">
        <v>2.426458160597837</v>
      </c>
      <c r="E83" s="31">
        <v>1.936326531448328</v>
      </c>
      <c r="F83" s="31">
        <v>1.5692350392106451</v>
      </c>
      <c r="G83" s="31">
        <v>1.297320299785625</v>
      </c>
      <c r="H83" s="31">
        <v>1.096301118734164</v>
      </c>
      <c r="I83" s="31">
        <v>0.94547849127722028</v>
      </c>
      <c r="J83" s="31">
        <v>0.82773560229579912</v>
      </c>
      <c r="K83" s="31">
        <v>0.72953782633098141</v>
      </c>
      <c r="L83" s="31">
        <v>0.64093272758390718</v>
      </c>
      <c r="M83" s="31">
        <v>0.55555005991576434</v>
      </c>
      <c r="N83" s="31">
        <v>0.47060176684780869</v>
      </c>
      <c r="O83" s="31">
        <v>0.38688198156135029</v>
      </c>
      <c r="P83" s="31">
        <v>0.30876702689778668</v>
      </c>
      <c r="Q83" s="31">
        <v>0.24421541535853211</v>
      </c>
      <c r="R83" s="32">
        <v>0.2047678491050853</v>
      </c>
    </row>
    <row r="84" spans="1:18" x14ac:dyDescent="0.25">
      <c r="A84" s="30">
        <v>148</v>
      </c>
      <c r="B84" s="31">
        <v>4.0425132034642619</v>
      </c>
      <c r="C84" s="31">
        <v>3.175701011163389</v>
      </c>
      <c r="D84" s="31">
        <v>2.5043423798836502</v>
      </c>
      <c r="E84" s="31">
        <v>1.992836133499599</v>
      </c>
      <c r="F84" s="31">
        <v>1.6091632855458351</v>
      </c>
      <c r="G84" s="31">
        <v>1.324887039217034</v>
      </c>
      <c r="H84" s="31">
        <v>1.115152787367925</v>
      </c>
      <c r="I84" s="31">
        <v>0.95868811251329777</v>
      </c>
      <c r="J84" s="31">
        <v>0.83780278682799436</v>
      </c>
      <c r="K84" s="31">
        <v>0.73838877214692655</v>
      </c>
      <c r="L84" s="31">
        <v>0.64992021996507543</v>
      </c>
      <c r="M84" s="31">
        <v>0.56545347143745361</v>
      </c>
      <c r="N84" s="31">
        <v>0.48162705737915712</v>
      </c>
      <c r="O84" s="31">
        <v>0.39866169826533082</v>
      </c>
      <c r="P84" s="31">
        <v>0.32036030423120448</v>
      </c>
      <c r="Q84" s="31">
        <v>0.25410797507202432</v>
      </c>
      <c r="R84" s="32">
        <v>0.2108720002431248</v>
      </c>
    </row>
    <row r="85" spans="1:18" x14ac:dyDescent="0.25">
      <c r="A85" s="30">
        <v>168</v>
      </c>
      <c r="B85" s="31">
        <v>4.1841824837536041</v>
      </c>
      <c r="C85" s="31">
        <v>3.2838401102228958</v>
      </c>
      <c r="D85" s="31">
        <v>2.5849831402383709</v>
      </c>
      <c r="E85" s="31">
        <v>2.051436984968416</v>
      </c>
      <c r="F85" s="31">
        <v>1.6506092452414729</v>
      </c>
      <c r="G85" s="31">
        <v>1.3534897115460429</v>
      </c>
      <c r="H85" s="31">
        <v>1.1346503640306931</v>
      </c>
      <c r="I85" s="31">
        <v>0.97224537250404419</v>
      </c>
      <c r="J85" s="31">
        <v>0.84801109643477546</v>
      </c>
      <c r="K85" s="31">
        <v>0.74726608495163316</v>
      </c>
      <c r="L85" s="31">
        <v>0.65891107684342731</v>
      </c>
      <c r="M85" s="31">
        <v>0.57542900055901314</v>
      </c>
      <c r="N85" s="31">
        <v>0.49288497420731059</v>
      </c>
      <c r="O85" s="31">
        <v>0.41092630555730569</v>
      </c>
      <c r="P85" s="31">
        <v>0.33278249203806542</v>
      </c>
      <c r="Q85" s="31">
        <v>0.26526522073866943</v>
      </c>
      <c r="R85" s="32">
        <v>0.21876836840826999</v>
      </c>
    </row>
    <row r="86" spans="1:18" x14ac:dyDescent="0.25">
      <c r="A86" s="30">
        <v>188</v>
      </c>
      <c r="B86" s="31">
        <v>4.3304501187527524</v>
      </c>
      <c r="C86" s="31">
        <v>3.39570488013984</v>
      </c>
      <c r="D86" s="31">
        <v>2.668568643192418</v>
      </c>
      <c r="E86" s="31">
        <v>2.1122934063727068</v>
      </c>
      <c r="F86" s="31">
        <v>1.693713357802979</v>
      </c>
      <c r="G86" s="31">
        <v>1.383244875265575</v>
      </c>
      <c r="H86" s="31">
        <v>1.1548865262028909</v>
      </c>
      <c r="I86" s="31">
        <v>0.98621906771738554</v>
      </c>
      <c r="J86" s="31">
        <v>0.85840544657157491</v>
      </c>
      <c r="K86" s="31">
        <v>0.7561907991880269</v>
      </c>
      <c r="L86" s="31">
        <v>0.6679024516494021</v>
      </c>
      <c r="M86" s="31">
        <v>0.58544991969837701</v>
      </c>
      <c r="N86" s="31">
        <v>0.50432490873771318</v>
      </c>
      <c r="O86" s="31">
        <v>0.42360131383023453</v>
      </c>
      <c r="P86" s="31">
        <v>0.34593521969882168</v>
      </c>
      <c r="Q86" s="31">
        <v>0.27756490072641071</v>
      </c>
      <c r="R86" s="32">
        <v>0.22831082095597921</v>
      </c>
    </row>
    <row r="87" spans="1:18" x14ac:dyDescent="0.25">
      <c r="A87" s="30">
        <v>208</v>
      </c>
      <c r="B87" s="31">
        <v>4.4815582876119837</v>
      </c>
      <c r="C87" s="31">
        <v>3.511513619052006</v>
      </c>
      <c r="D87" s="31">
        <v>2.7552933058710778</v>
      </c>
      <c r="E87" s="31">
        <v>2.1755759338252552</v>
      </c>
      <c r="F87" s="31">
        <v>1.7386222783306491</v>
      </c>
      <c r="G87" s="31">
        <v>1.414275304463426</v>
      </c>
      <c r="H87" s="31">
        <v>1.175960166959821</v>
      </c>
      <c r="I87" s="31">
        <v>1.0006842102161291</v>
      </c>
      <c r="J87" s="31">
        <v>0.86903696828869403</v>
      </c>
      <c r="K87" s="31">
        <v>0.76519016489392777</v>
      </c>
      <c r="L87" s="31">
        <v>0.67689771340831129</v>
      </c>
      <c r="M87" s="31">
        <v>0.59549571686836966</v>
      </c>
      <c r="N87" s="31">
        <v>0.51590246797068851</v>
      </c>
      <c r="O87" s="31">
        <v>0.43661844907192371</v>
      </c>
      <c r="P87" s="31">
        <v>0.35972633218879752</v>
      </c>
      <c r="Q87" s="31">
        <v>0.29089097899807459</v>
      </c>
      <c r="R87" s="32">
        <v>0.2393594408365729</v>
      </c>
    </row>
    <row r="88" spans="1:18" x14ac:dyDescent="0.25">
      <c r="A88" s="30">
        <v>228</v>
      </c>
      <c r="B88" s="31">
        <v>4.6377553850764377</v>
      </c>
      <c r="C88" s="31">
        <v>3.6314908406920279</v>
      </c>
      <c r="D88" s="31">
        <v>2.84535776099449</v>
      </c>
      <c r="E88" s="31">
        <v>2.2414613190337058</v>
      </c>
      <c r="F88" s="31">
        <v>1.7854888775196209</v>
      </c>
      <c r="G88" s="31">
        <v>1.4467099888222421</v>
      </c>
      <c r="H88" s="31">
        <v>1.197976394971632</v>
      </c>
      <c r="I88" s="31">
        <v>1.01572202765792</v>
      </c>
      <c r="J88" s="31">
        <v>0.87996300823128659</v>
      </c>
      <c r="K88" s="31">
        <v>0.77429764770197818</v>
      </c>
      <c r="L88" s="31">
        <v>0.68590644674030954</v>
      </c>
      <c r="M88" s="31">
        <v>0.60555209567663315</v>
      </c>
      <c r="N88" s="31">
        <v>0.52757947450137255</v>
      </c>
      <c r="O88" s="31">
        <v>0.44991565286503199</v>
      </c>
      <c r="P88" s="31">
        <v>0.37406989007814662</v>
      </c>
      <c r="Q88" s="31">
        <v>0.3051336351113319</v>
      </c>
      <c r="R88" s="32">
        <v>0.2517805265952297</v>
      </c>
    </row>
    <row r="89" spans="1:18" x14ac:dyDescent="0.25">
      <c r="A89" s="30">
        <v>248</v>
      </c>
      <c r="B89" s="31">
        <v>4.7992960214861107</v>
      </c>
      <c r="C89" s="31">
        <v>3.755867274387418</v>
      </c>
      <c r="D89" s="31">
        <v>2.9389688568776648</v>
      </c>
      <c r="E89" s="31">
        <v>2.310132529300573</v>
      </c>
      <c r="F89" s="31">
        <v>1.8344722416599191</v>
      </c>
      <c r="G89" s="31">
        <v>1.4806841336195411</v>
      </c>
      <c r="H89" s="31">
        <v>1.221046534503343</v>
      </c>
      <c r="I89" s="31">
        <v>1.031419963295285</v>
      </c>
      <c r="J89" s="31">
        <v>0.89124712863937761</v>
      </c>
      <c r="K89" s="31">
        <v>0.78355292883970984</v>
      </c>
      <c r="L89" s="31">
        <v>0.69494445186042497</v>
      </c>
      <c r="M89" s="31">
        <v>0.61561097532571207</v>
      </c>
      <c r="N89" s="31">
        <v>0.53932396651983261</v>
      </c>
      <c r="O89" s="31">
        <v>0.4634370823871059</v>
      </c>
      <c r="P89" s="31">
        <v>0.38888616953192928</v>
      </c>
      <c r="Q89" s="31">
        <v>0.32018926421872601</v>
      </c>
      <c r="R89" s="32">
        <v>0.26544659237198331</v>
      </c>
    </row>
    <row r="90" spans="1:18" x14ac:dyDescent="0.25">
      <c r="A90" s="30">
        <v>268</v>
      </c>
      <c r="B90" s="31">
        <v>4.9664410227758671</v>
      </c>
      <c r="C90" s="31">
        <v>3.8848798650605341</v>
      </c>
      <c r="D90" s="31">
        <v>3.0363396574304642</v>
      </c>
      <c r="E90" s="31">
        <v>2.3817787475232191</v>
      </c>
      <c r="F90" s="31">
        <v>1.885737672636405</v>
      </c>
      <c r="G90" s="31">
        <v>1.5163391597276981</v>
      </c>
      <c r="H90" s="31">
        <v>1.24528812541483</v>
      </c>
      <c r="I90" s="31">
        <v>1.047871675975605</v>
      </c>
      <c r="J90" s="31">
        <v>0.90295910734785845</v>
      </c>
      <c r="K90" s="31">
        <v>0.79300190512951207</v>
      </c>
      <c r="L90" s="31">
        <v>0.7040337445785575</v>
      </c>
      <c r="M90" s="31">
        <v>0.62567049061299873</v>
      </c>
      <c r="N90" s="31">
        <v>0.55111019781094406</v>
      </c>
      <c r="O90" s="31">
        <v>0.47713311041055573</v>
      </c>
      <c r="P90" s="31">
        <v>0.40410166231003142</v>
      </c>
      <c r="Q90" s="31">
        <v>0.33596047706766541</v>
      </c>
      <c r="R90" s="32">
        <v>0.28023636790176087</v>
      </c>
    </row>
    <row r="91" spans="1:18" x14ac:dyDescent="0.25">
      <c r="A91" s="30">
        <v>288</v>
      </c>
      <c r="B91" s="31">
        <v>5.1394574304754306</v>
      </c>
      <c r="C91" s="31">
        <v>4.0187717732285986</v>
      </c>
      <c r="D91" s="31">
        <v>3.1376894421576189</v>
      </c>
      <c r="E91" s="31">
        <v>2.4565953721938749</v>
      </c>
      <c r="F91" s="31">
        <v>1.939456687928816</v>
      </c>
      <c r="G91" s="31">
        <v>1.553822703613944</v>
      </c>
      <c r="H91" s="31">
        <v>1.2708249231608351</v>
      </c>
      <c r="I91" s="31">
        <v>1.065177040141112</v>
      </c>
      <c r="J91" s="31">
        <v>0.91517493778645687</v>
      </c>
      <c r="K91" s="31">
        <v>0.802696688988629</v>
      </c>
      <c r="L91" s="31">
        <v>0.71320255629943408</v>
      </c>
      <c r="M91" s="31">
        <v>0.63573499193073535</v>
      </c>
      <c r="N91" s="31">
        <v>0.56291863775446038</v>
      </c>
      <c r="O91" s="31">
        <v>0.4909603253026002</v>
      </c>
      <c r="P91" s="31">
        <v>0.41964907576721272</v>
      </c>
      <c r="Q91" s="31">
        <v>0.3523561000003923</v>
      </c>
      <c r="R91" s="32">
        <v>0.29603479851429532</v>
      </c>
    </row>
    <row r="92" spans="1:18" x14ac:dyDescent="0.25">
      <c r="A92" s="30">
        <v>308</v>
      </c>
      <c r="B92" s="31">
        <v>5.3186185017093841</v>
      </c>
      <c r="C92" s="31">
        <v>4.1577923750037096</v>
      </c>
      <c r="D92" s="31">
        <v>3.2432437061587218</v>
      </c>
      <c r="E92" s="31">
        <v>2.534784017399641</v>
      </c>
      <c r="F92" s="31">
        <v>1.9958070206117491</v>
      </c>
      <c r="G92" s="31">
        <v>1.593288617340382</v>
      </c>
      <c r="H92" s="31">
        <v>1.297786898790952</v>
      </c>
      <c r="I92" s="31">
        <v>1.0834421458289161</v>
      </c>
      <c r="J92" s="31">
        <v>0.92797682897979572</v>
      </c>
      <c r="K92" s="31">
        <v>0.81269560842916821</v>
      </c>
      <c r="L92" s="31">
        <v>0.72248533402269111</v>
      </c>
      <c r="M92" s="31">
        <v>0.64581504526604938</v>
      </c>
      <c r="N92" s="31">
        <v>0.57473597132500687</v>
      </c>
      <c r="O92" s="31">
        <v>0.50488153102539191</v>
      </c>
      <c r="P92" s="31">
        <v>0.43546733285309708</v>
      </c>
      <c r="Q92" s="31">
        <v>0.369291174954057</v>
      </c>
      <c r="R92" s="32">
        <v>0.31273304513424449</v>
      </c>
    </row>
    <row r="93" spans="1:18" x14ac:dyDescent="0.25">
      <c r="A93" s="30">
        <v>328</v>
      </c>
      <c r="B93" s="31">
        <v>5.5042037091971716</v>
      </c>
      <c r="C93" s="31">
        <v>4.302197262092804</v>
      </c>
      <c r="D93" s="31">
        <v>3.3532341601282152</v>
      </c>
      <c r="E93" s="31">
        <v>2.6165525128224609</v>
      </c>
      <c r="F93" s="31">
        <v>2.0549726193546518</v>
      </c>
      <c r="G93" s="31">
        <v>1.6348969685639669</v>
      </c>
      <c r="H93" s="31">
        <v>1.3263102389496451</v>
      </c>
      <c r="I93" s="31">
        <v>1.1027792986709759</v>
      </c>
      <c r="J93" s="31">
        <v>0.94145320554732159</v>
      </c>
      <c r="K93" s="31">
        <v>0.8230632070580961</v>
      </c>
      <c r="L93" s="31">
        <v>0.73192274034277571</v>
      </c>
      <c r="M93" s="31">
        <v>0.65592743220090022</v>
      </c>
      <c r="N93" s="31">
        <v>0.58655509909204739</v>
      </c>
      <c r="O93" s="31">
        <v>0.51886574713589617</v>
      </c>
      <c r="P93" s="31">
        <v>0.45150157211215891</v>
      </c>
      <c r="Q93" s="31">
        <v>0.38668695946061138</v>
      </c>
      <c r="R93" s="32">
        <v>0.33022848428106849</v>
      </c>
    </row>
    <row r="94" spans="1:18" x14ac:dyDescent="0.25">
      <c r="A94" s="30">
        <v>348</v>
      </c>
      <c r="B94" s="31">
        <v>5.6964987412531052</v>
      </c>
      <c r="C94" s="31">
        <v>4.4522482417977001</v>
      </c>
      <c r="D94" s="31">
        <v>3.4678987303554232</v>
      </c>
      <c r="E94" s="31">
        <v>2.7021149037391559</v>
      </c>
      <c r="F94" s="31">
        <v>2.117143648421854</v>
      </c>
      <c r="G94" s="31">
        <v>1.6788140405365259</v>
      </c>
      <c r="H94" s="31">
        <v>1.3565373458762371</v>
      </c>
      <c r="I94" s="31">
        <v>1.1233070198941291</v>
      </c>
      <c r="J94" s="31">
        <v>0.9556987077033805</v>
      </c>
      <c r="K94" s="31">
        <v>0.8338702440772463</v>
      </c>
      <c r="L94" s="31">
        <v>0.74156165344904235</v>
      </c>
      <c r="M94" s="31">
        <v>0.66609514991212782</v>
      </c>
      <c r="N94" s="31">
        <v>0.59837513721993407</v>
      </c>
      <c r="O94" s="31">
        <v>0.53288820878596088</v>
      </c>
      <c r="P94" s="31">
        <v>0.46770314768375881</v>
      </c>
      <c r="Q94" s="31">
        <v>0.40447092664692968</v>
      </c>
      <c r="R94" s="32">
        <v>0.34842470806913539</v>
      </c>
    </row>
    <row r="95" spans="1:18" x14ac:dyDescent="0.25">
      <c r="A95" s="30">
        <v>368</v>
      </c>
      <c r="B95" s="31">
        <v>5.8957955017863544</v>
      </c>
      <c r="C95" s="31">
        <v>4.6082133370150666</v>
      </c>
      <c r="D95" s="31">
        <v>3.5874815587245088</v>
      </c>
      <c r="E95" s="31">
        <v>2.791691451021403</v>
      </c>
      <c r="F95" s="31">
        <v>2.18251648767253</v>
      </c>
      <c r="G95" s="31">
        <v>1.7252123321047319</v>
      </c>
      <c r="H95" s="31">
        <v>1.3886168374049199</v>
      </c>
      <c r="I95" s="31">
        <v>1.145150046320055</v>
      </c>
      <c r="J95" s="31">
        <v>0.97081419125715707</v>
      </c>
      <c r="K95" s="31">
        <v>0.84519369428331204</v>
      </c>
      <c r="L95" s="31">
        <v>0.75145516712567451</v>
      </c>
      <c r="M95" s="31">
        <v>0.67634741117144093</v>
      </c>
      <c r="N95" s="31">
        <v>0.61020141746786494</v>
      </c>
      <c r="O95" s="31">
        <v>0.54693036672227902</v>
      </c>
      <c r="P95" s="31">
        <v>0.48402962930208748</v>
      </c>
      <c r="Q95" s="31">
        <v>0.42257676523471599</v>
      </c>
      <c r="R95" s="32">
        <v>0.36723152420765731</v>
      </c>
    </row>
    <row r="96" spans="1:18" x14ac:dyDescent="0.25">
      <c r="A96" s="30">
        <v>388</v>
      </c>
      <c r="B96" s="31">
        <v>6.10239211030094</v>
      </c>
      <c r="C96" s="31">
        <v>4.7703667862364361</v>
      </c>
      <c r="D96" s="31">
        <v>3.7122330027145169</v>
      </c>
      <c r="E96" s="31">
        <v>2.885508631135739</v>
      </c>
      <c r="F96" s="31">
        <v>2.2512937325607179</v>
      </c>
      <c r="G96" s="31">
        <v>1.7742705577101361</v>
      </c>
      <c r="H96" s="31">
        <v>1.4227035469647289</v>
      </c>
      <c r="I96" s="31">
        <v>1.1684393303653</v>
      </c>
      <c r="J96" s="31">
        <v>0.98690672761269926</v>
      </c>
      <c r="K96" s="31">
        <v>0.85711674806784899</v>
      </c>
      <c r="L96" s="31">
        <v>0.76166259075173193</v>
      </c>
      <c r="M96" s="31">
        <v>0.68671964434538424</v>
      </c>
      <c r="N96" s="31">
        <v>0.62204548718989894</v>
      </c>
      <c r="O96" s="31">
        <v>0.56097988728643422</v>
      </c>
      <c r="P96" s="31">
        <v>0.50044480229621513</v>
      </c>
      <c r="Q96" s="31">
        <v>0.44094437954052867</v>
      </c>
      <c r="R96" s="32">
        <v>0.38656495600068658</v>
      </c>
    </row>
    <row r="97" spans="1:18" x14ac:dyDescent="0.25">
      <c r="A97" s="30">
        <v>408</v>
      </c>
      <c r="B97" s="31">
        <v>6.3165929018957643</v>
      </c>
      <c r="C97" s="31">
        <v>4.9389890435482009</v>
      </c>
      <c r="D97" s="31">
        <v>3.8424096353993349</v>
      </c>
      <c r="E97" s="31">
        <v>2.9837991361435598</v>
      </c>
      <c r="F97" s="31">
        <v>2.323684194135323</v>
      </c>
      <c r="G97" s="31">
        <v>1.8261736473891359</v>
      </c>
      <c r="H97" s="31">
        <v>1.458958523579575</v>
      </c>
      <c r="I97" s="31">
        <v>1.193312040041272</v>
      </c>
      <c r="J97" s="31">
        <v>1.004089603768918</v>
      </c>
      <c r="K97" s="31">
        <v>0.86972881141726432</v>
      </c>
      <c r="L97" s="31">
        <v>0.77224944930113348</v>
      </c>
      <c r="M97" s="31">
        <v>0.697253493395386</v>
      </c>
      <c r="N97" s="31">
        <v>0.63392510933495128</v>
      </c>
      <c r="O97" s="31">
        <v>0.57503065241482965</v>
      </c>
      <c r="P97" s="31">
        <v>0.51691866759008154</v>
      </c>
      <c r="Q97" s="31">
        <v>0.45951988947581413</v>
      </c>
      <c r="R97" s="32">
        <v>0.40634724234717712</v>
      </c>
    </row>
    <row r="98" spans="1:18" x14ac:dyDescent="0.25">
      <c r="A98" s="30">
        <v>428</v>
      </c>
      <c r="B98" s="31">
        <v>6.5387084272645746</v>
      </c>
      <c r="C98" s="31">
        <v>5.1143667786316209</v>
      </c>
      <c r="D98" s="31">
        <v>3.9782742454477309</v>
      </c>
      <c r="E98" s="31">
        <v>3.0868018737011309</v>
      </c>
      <c r="F98" s="31">
        <v>2.3999028990401059</v>
      </c>
      <c r="G98" s="31">
        <v>1.8811127467730051</v>
      </c>
      <c r="H98" s="31">
        <v>1.4975490318682301</v>
      </c>
      <c r="I98" s="31">
        <v>1.219911558954258</v>
      </c>
      <c r="J98" s="31">
        <v>1.022482322319596</v>
      </c>
      <c r="K98" s="31">
        <v>0.88312550591284134</v>
      </c>
      <c r="L98" s="31">
        <v>0.78328748334265186</v>
      </c>
      <c r="M98" s="31">
        <v>0.70799681787772717</v>
      </c>
      <c r="N98" s="31">
        <v>0.64586426244681605</v>
      </c>
      <c r="O98" s="31">
        <v>0.58908275963876555</v>
      </c>
      <c r="P98" s="31">
        <v>0.53342744170246625</v>
      </c>
      <c r="Q98" s="31">
        <v>0.4782556305468616</v>
      </c>
      <c r="R98" s="32">
        <v>0.42650683774092002</v>
      </c>
    </row>
    <row r="99" spans="1:18" x14ac:dyDescent="0.25">
      <c r="A99" s="30">
        <v>448</v>
      </c>
      <c r="B99" s="31">
        <v>6.7690554526959863</v>
      </c>
      <c r="C99" s="31">
        <v>5.2967928767628107</v>
      </c>
      <c r="D99" s="31">
        <v>4.1200958371233174</v>
      </c>
      <c r="E99" s="31">
        <v>3.194761967059573</v>
      </c>
      <c r="F99" s="31">
        <v>2.4801710895136941</v>
      </c>
      <c r="G99" s="31">
        <v>1.9392852170878609</v>
      </c>
      <c r="H99" s="31">
        <v>1.5386485520443201</v>
      </c>
      <c r="I99" s="31">
        <v>1.2483874863053701</v>
      </c>
      <c r="J99" s="31">
        <v>1.042210601453357</v>
      </c>
      <c r="K99" s="31">
        <v>0.89740866873072089</v>
      </c>
      <c r="L99" s="31">
        <v>0.79485464903993475</v>
      </c>
      <c r="M99" s="31">
        <v>0.71900369294354105</v>
      </c>
      <c r="N99" s="31">
        <v>0.65789314066413429</v>
      </c>
      <c r="O99" s="31">
        <v>0.60314252208437769</v>
      </c>
      <c r="P99" s="31">
        <v>0.54995355674700819</v>
      </c>
      <c r="Q99" s="31">
        <v>0.49711015385479129</v>
      </c>
      <c r="R99" s="32">
        <v>0.44697841227056412</v>
      </c>
    </row>
    <row r="100" spans="1:18" x14ac:dyDescent="0.25">
      <c r="A100" s="30">
        <v>468</v>
      </c>
      <c r="B100" s="31">
        <v>7.0079569600734732</v>
      </c>
      <c r="C100" s="31">
        <v>5.4865664388127433</v>
      </c>
      <c r="D100" s="31">
        <v>4.2681496302845776</v>
      </c>
      <c r="E100" s="31">
        <v>3.3079307550648691</v>
      </c>
      <c r="F100" s="31">
        <v>2.5647162233895742</v>
      </c>
      <c r="G100" s="31">
        <v>2.0008946351547028</v>
      </c>
      <c r="H100" s="31">
        <v>1.5824367799163359</v>
      </c>
      <c r="I100" s="31">
        <v>1.278895636890613</v>
      </c>
      <c r="J100" s="31">
        <v>1.0634063749537119</v>
      </c>
      <c r="K100" s="31">
        <v>0.91268635264189502</v>
      </c>
      <c r="L100" s="31">
        <v>0.80703511815148787</v>
      </c>
      <c r="M100" s="31">
        <v>0.73033440933885196</v>
      </c>
      <c r="N100" s="31">
        <v>0.67004815372042614</v>
      </c>
      <c r="O100" s="31">
        <v>0.61722246847270246</v>
      </c>
      <c r="P100" s="31">
        <v>0.56648566043224424</v>
      </c>
      <c r="Q100" s="31">
        <v>0.5160482260956768</v>
      </c>
      <c r="R100" s="32">
        <v>0.46770285161963437</v>
      </c>
    </row>
    <row r="101" spans="1:18" x14ac:dyDescent="0.25">
      <c r="A101" s="30">
        <v>488</v>
      </c>
      <c r="B101" s="31">
        <v>7.2557421468753791</v>
      </c>
      <c r="C101" s="31">
        <v>5.6839927812472686</v>
      </c>
      <c r="D101" s="31">
        <v>4.4227170603848549</v>
      </c>
      <c r="E101" s="31">
        <v>3.4265657921578669</v>
      </c>
      <c r="F101" s="31">
        <v>2.653771974096093</v>
      </c>
      <c r="G101" s="31">
        <v>2.066150793389379</v>
      </c>
      <c r="H101" s="31">
        <v>1.629099626887639</v>
      </c>
      <c r="I101" s="31">
        <v>1.3115980411008361</v>
      </c>
      <c r="J101" s="31">
        <v>1.0862077921990061</v>
      </c>
      <c r="K101" s="31">
        <v>0.92907282601222574</v>
      </c>
      <c r="L101" s="31">
        <v>0.819919278030663</v>
      </c>
      <c r="M101" s="31">
        <v>0.74205547340451372</v>
      </c>
      <c r="N101" s="31">
        <v>0.68237192694403437</v>
      </c>
      <c r="O101" s="31">
        <v>0.63134134311958534</v>
      </c>
      <c r="P101" s="31">
        <v>0.58301861606153882</v>
      </c>
      <c r="Q101" s="31">
        <v>0.53504082956033727</v>
      </c>
      <c r="R101" s="32">
        <v>0.48862725706650412</v>
      </c>
    </row>
    <row r="102" spans="1:18" x14ac:dyDescent="0.25">
      <c r="A102" s="30">
        <v>508</v>
      </c>
      <c r="B102" s="31">
        <v>7.5127464261748926</v>
      </c>
      <c r="C102" s="31">
        <v>5.8893834361270816</v>
      </c>
      <c r="D102" s="31">
        <v>4.5840857784723497</v>
      </c>
      <c r="E102" s="31">
        <v>3.5509308483742701</v>
      </c>
      <c r="F102" s="31">
        <v>2.747578230656456</v>
      </c>
      <c r="G102" s="31">
        <v>2.135269699802596</v>
      </c>
      <c r="H102" s="31">
        <v>1.6788292199564321</v>
      </c>
      <c r="I102" s="31">
        <v>1.3466629449217691</v>
      </c>
      <c r="J102" s="31">
        <v>1.110759218162461</v>
      </c>
      <c r="K102" s="31">
        <v>0.94668857280243923</v>
      </c>
      <c r="L102" s="31">
        <v>0.8336037316256909</v>
      </c>
      <c r="M102" s="31">
        <v>0.75423960707625071</v>
      </c>
      <c r="N102" s="31">
        <v>0.69491330125822171</v>
      </c>
      <c r="O102" s="31">
        <v>0.64552410593576681</v>
      </c>
      <c r="P102" s="31">
        <v>0.59955350253311757</v>
      </c>
      <c r="Q102" s="31">
        <v>0.55406516213455959</v>
      </c>
      <c r="R102" s="32">
        <v>0.50970494548441181</v>
      </c>
    </row>
    <row r="103" spans="1:18" x14ac:dyDescent="0.25">
      <c r="A103" s="30">
        <v>528</v>
      </c>
      <c r="B103" s="31">
        <v>7.7793114266400867</v>
      </c>
      <c r="C103" s="31">
        <v>6.1030561511077472</v>
      </c>
      <c r="D103" s="31">
        <v>4.7525496511901331</v>
      </c>
      <c r="E103" s="31">
        <v>3.6812959093446471</v>
      </c>
      <c r="F103" s="31">
        <v>2.8463810976887411</v>
      </c>
      <c r="G103" s="31">
        <v>2.2084735779999298</v>
      </c>
      <c r="H103" s="31">
        <v>1.731823901715797</v>
      </c>
      <c r="I103" s="31">
        <v>1.3842648099339789</v>
      </c>
      <c r="J103" s="31">
        <v>1.137211233412164</v>
      </c>
      <c r="K103" s="31">
        <v>0.96566029256811614</v>
      </c>
      <c r="L103" s="31">
        <v>0.84819129747965694</v>
      </c>
      <c r="M103" s="31">
        <v>0.76696574788465266</v>
      </c>
      <c r="N103" s="31">
        <v>0.70772733318104919</v>
      </c>
      <c r="O103" s="31">
        <v>0.65980193242683971</v>
      </c>
      <c r="P103" s="31">
        <v>0.61609761434008981</v>
      </c>
      <c r="Q103" s="31">
        <v>0.57310463729891825</v>
      </c>
      <c r="R103" s="32">
        <v>0.5308954493414646</v>
      </c>
    </row>
    <row r="104" spans="1:18" x14ac:dyDescent="0.25">
      <c r="A104" s="30">
        <v>548</v>
      </c>
      <c r="B104" s="31">
        <v>8.0557849925338711</v>
      </c>
      <c r="C104" s="31">
        <v>6.3253348894396861</v>
      </c>
      <c r="D104" s="31">
        <v>4.9284087607761293</v>
      </c>
      <c r="E104" s="31">
        <v>3.817937176294425</v>
      </c>
      <c r="F104" s="31">
        <v>2.9504328954058718</v>
      </c>
      <c r="G104" s="31">
        <v>2.285990867181817</v>
      </c>
      <c r="H104" s="31">
        <v>1.788288230353672</v>
      </c>
      <c r="I104" s="31">
        <v>1.424584313312909</v>
      </c>
      <c r="J104" s="31">
        <v>1.165720634111056</v>
      </c>
      <c r="K104" s="31">
        <v>0.98612090045970091</v>
      </c>
      <c r="L104" s="31">
        <v>0.86379100973051337</v>
      </c>
      <c r="M104" s="31">
        <v>0.78031904895518356</v>
      </c>
      <c r="N104" s="31">
        <v>0.72087529482548085</v>
      </c>
      <c r="O104" s="31">
        <v>0.67421221369325623</v>
      </c>
      <c r="P104" s="31">
        <v>0.63266446157040523</v>
      </c>
      <c r="Q104" s="31">
        <v>0.59214888412886768</v>
      </c>
      <c r="R104" s="32">
        <v>0.55216451670062483</v>
      </c>
    </row>
    <row r="105" spans="1:18" x14ac:dyDescent="0.25">
      <c r="A105" s="30">
        <v>568</v>
      </c>
      <c r="B105" s="31">
        <v>8.3425211837140409</v>
      </c>
      <c r="C105" s="31">
        <v>6.5565498299681906</v>
      </c>
      <c r="D105" s="31">
        <v>5.1119694050631264</v>
      </c>
      <c r="E105" s="31">
        <v>3.961137066043904</v>
      </c>
      <c r="F105" s="31">
        <v>3.059992159615653</v>
      </c>
      <c r="G105" s="31">
        <v>2.3680562221435508</v>
      </c>
      <c r="H105" s="31">
        <v>1.8484329796528529</v>
      </c>
      <c r="I105" s="31">
        <v>1.4678083478288619</v>
      </c>
      <c r="J105" s="31">
        <v>1.1964504320169369</v>
      </c>
      <c r="K105" s="31">
        <v>1.0082095272225069</v>
      </c>
      <c r="L105" s="31">
        <v>0.88051811811106528</v>
      </c>
      <c r="M105" s="31">
        <v>0.79439087900815009</v>
      </c>
      <c r="N105" s="31">
        <v>0.73442467389934751</v>
      </c>
      <c r="O105" s="31">
        <v>0.68879855643035104</v>
      </c>
      <c r="P105" s="31">
        <v>0.64927376990688923</v>
      </c>
      <c r="Q105" s="31">
        <v>0.61119374729473452</v>
      </c>
      <c r="R105" s="32">
        <v>0.57348411121971299</v>
      </c>
    </row>
    <row r="106" spans="1:18" x14ac:dyDescent="0.25">
      <c r="A106" s="30">
        <v>588</v>
      </c>
      <c r="B106" s="31">
        <v>8.6398802756332245</v>
      </c>
      <c r="C106" s="31">
        <v>6.7970373671334023</v>
      </c>
      <c r="D106" s="31">
        <v>5.3035440974787722</v>
      </c>
      <c r="E106" s="31">
        <v>4.1111842110082284</v>
      </c>
      <c r="F106" s="31">
        <v>3.1753236417207269</v>
      </c>
      <c r="G106" s="31">
        <v>2.454910513275292</v>
      </c>
      <c r="H106" s="31">
        <v>1.9124751389910011</v>
      </c>
      <c r="I106" s="31">
        <v>1.5141300218469971</v>
      </c>
      <c r="J106" s="31">
        <v>1.229569854482472</v>
      </c>
      <c r="K106" s="31">
        <v>1.032071519196698</v>
      </c>
      <c r="L106" s="31">
        <v>0.89849408794898344</v>
      </c>
      <c r="M106" s="31">
        <v>0.80927882235870641</v>
      </c>
      <c r="N106" s="31">
        <v>0.74844917370530895</v>
      </c>
      <c r="O106" s="31">
        <v>0.70361078292828716</v>
      </c>
      <c r="P106" s="31">
        <v>0.66595148062722687</v>
      </c>
      <c r="Q106" s="31">
        <v>0.63024128706172156</v>
      </c>
      <c r="R106" s="32">
        <v>0.59483241215142968</v>
      </c>
    </row>
    <row r="107" spans="1:18" x14ac:dyDescent="0.25">
      <c r="A107" s="30">
        <v>608</v>
      </c>
      <c r="B107" s="31">
        <v>8.9482287593389387</v>
      </c>
      <c r="C107" s="31">
        <v>7.0471401109703331</v>
      </c>
      <c r="D107" s="31">
        <v>5.5034515670455759</v>
      </c>
      <c r="E107" s="31">
        <v>4.2683734591974067</v>
      </c>
      <c r="F107" s="31">
        <v>3.2966983087186161</v>
      </c>
      <c r="G107" s="31">
        <v>2.5468008265620541</v>
      </c>
      <c r="H107" s="31">
        <v>1.9806379133406411</v>
      </c>
      <c r="I107" s="31">
        <v>1.5637486593273371</v>
      </c>
      <c r="J107" s="31">
        <v>1.2652543444551889</v>
      </c>
      <c r="K107" s="31">
        <v>1.0578584383172951</v>
      </c>
      <c r="L107" s="31">
        <v>0.91784660016678843</v>
      </c>
      <c r="M107" s="31">
        <v>0.82508667891689957</v>
      </c>
      <c r="N107" s="31">
        <v>0.76302871314089593</v>
      </c>
      <c r="O107" s="31">
        <v>0.71870493107210398</v>
      </c>
      <c r="P107" s="31">
        <v>0.68272975060393837</v>
      </c>
      <c r="Q107" s="31">
        <v>0.64929977928984051</v>
      </c>
      <c r="R107" s="32">
        <v>0.61619381434330833</v>
      </c>
    </row>
    <row r="108" spans="1:18" x14ac:dyDescent="0.25">
      <c r="A108" s="30">
        <v>628</v>
      </c>
      <c r="B108" s="31">
        <v>9.2679393414735518</v>
      </c>
      <c r="C108" s="31">
        <v>7.3072068871088502</v>
      </c>
      <c r="D108" s="31">
        <v>5.7120167583809227</v>
      </c>
      <c r="E108" s="31">
        <v>4.4330058742163319</v>
      </c>
      <c r="F108" s="31">
        <v>3.4243933432017029</v>
      </c>
      <c r="G108" s="31">
        <v>2.6439804635837292</v>
      </c>
      <c r="H108" s="31">
        <v>2.0531507232691522</v>
      </c>
      <c r="I108" s="31">
        <v>1.616869799824787</v>
      </c>
      <c r="J108" s="31">
        <v>1.3036855604774971</v>
      </c>
      <c r="K108" s="31">
        <v>1.0857280621142</v>
      </c>
      <c r="L108" s="31">
        <v>0.93870955128190658</v>
      </c>
      <c r="M108" s="31">
        <v>0.84192446418764721</v>
      </c>
      <c r="N108" s="31">
        <v>0.7782494266985247</v>
      </c>
      <c r="O108" s="31">
        <v>0.73414325434171879</v>
      </c>
      <c r="P108" s="31">
        <v>0.69964695230446772</v>
      </c>
      <c r="Q108" s="31">
        <v>0.66838371543403963</v>
      </c>
      <c r="R108" s="32">
        <v>0.63755892823778038</v>
      </c>
    </row>
    <row r="109" spans="1:18" x14ac:dyDescent="0.25">
      <c r="A109" s="30">
        <v>648</v>
      </c>
      <c r="B109" s="31">
        <v>9.5993909442742904</v>
      </c>
      <c r="C109" s="31">
        <v>7.5775927367736866</v>
      </c>
      <c r="D109" s="31">
        <v>5.9295708316970286</v>
      </c>
      <c r="E109" s="31">
        <v>4.6053887352647216</v>
      </c>
      <c r="F109" s="31">
        <v>3.558692143357217</v>
      </c>
      <c r="G109" s="31">
        <v>2.7467089415150379</v>
      </c>
      <c r="H109" s="31">
        <v>2.1302492049387771</v>
      </c>
      <c r="I109" s="31">
        <v>1.673705198489065</v>
      </c>
      <c r="J109" s="31">
        <v>1.3450513766866019</v>
      </c>
      <c r="K109" s="31">
        <v>1.1158443837121581</v>
      </c>
      <c r="L109" s="31">
        <v>0.96122305340655567</v>
      </c>
      <c r="M109" s="31">
        <v>0.85990840927066903</v>
      </c>
      <c r="N109" s="31">
        <v>0.79420366446544222</v>
      </c>
      <c r="O109" s="31">
        <v>0.74999422181186248</v>
      </c>
      <c r="P109" s="31">
        <v>0.71674767379102633</v>
      </c>
      <c r="Q109" s="31">
        <v>0.68751380254404626</v>
      </c>
      <c r="R109" s="32">
        <v>0.65892457987206754</v>
      </c>
    </row>
    <row r="110" spans="1:18" x14ac:dyDescent="0.25">
      <c r="A110" s="30">
        <v>668</v>
      </c>
      <c r="B110" s="31">
        <v>9.9429687055732323</v>
      </c>
      <c r="C110" s="31">
        <v>7.858658916784429</v>
      </c>
      <c r="D110" s="31">
        <v>6.1564511628010008</v>
      </c>
      <c r="E110" s="31">
        <v>4.7858355371371779</v>
      </c>
      <c r="F110" s="31">
        <v>3.6998843229672622</v>
      </c>
      <c r="G110" s="31">
        <v>2.855251993125604</v>
      </c>
      <c r="H110" s="31">
        <v>2.212175210106623</v>
      </c>
      <c r="I110" s="31">
        <v>1.7344728260647939</v>
      </c>
      <c r="J110" s="31">
        <v>1.3895458828146461</v>
      </c>
      <c r="K110" s="31">
        <v>1.148377611830786</v>
      </c>
      <c r="L110" s="31">
        <v>0.98553343424787232</v>
      </c>
      <c r="M110" s="31">
        <v>0.87916096086060525</v>
      </c>
      <c r="N110" s="31">
        <v>0.81098999212377099</v>
      </c>
      <c r="O110" s="31">
        <v>0.76633251815219872</v>
      </c>
      <c r="P110" s="31">
        <v>0.73408271872079744</v>
      </c>
      <c r="Q110" s="31">
        <v>0.70671696326451894</v>
      </c>
      <c r="R110" s="32">
        <v>0.68029381087836438</v>
      </c>
    </row>
    <row r="111" spans="1:18" x14ac:dyDescent="0.25">
      <c r="A111" s="30">
        <v>688</v>
      </c>
      <c r="B111" s="31">
        <v>10.299063978797349</v>
      </c>
      <c r="C111" s="31">
        <v>8.1507728995555428</v>
      </c>
      <c r="D111" s="31">
        <v>6.3930013430947898</v>
      </c>
      <c r="E111" s="31">
        <v>4.9746659902231674</v>
      </c>
      <c r="F111" s="31">
        <v>3.8482657114088021</v>
      </c>
      <c r="G111" s="31">
        <v>2.969881566779879</v>
      </c>
      <c r="H111" s="31">
        <v>2.2991768061246578</v>
      </c>
      <c r="I111" s="31">
        <v>1.7993968688914419</v>
      </c>
      <c r="J111" s="31">
        <v>1.4373693841886019</v>
      </c>
      <c r="K111" s="31">
        <v>1.183504170784563</v>
      </c>
      <c r="L111" s="31">
        <v>1.011793237107828</v>
      </c>
      <c r="M111" s="31">
        <v>0.89981078124693714</v>
      </c>
      <c r="N111" s="31">
        <v>0.82871319095049145</v>
      </c>
      <c r="O111" s="31">
        <v>0.78323904362718377</v>
      </c>
      <c r="P111" s="31">
        <v>0.75170910634572852</v>
      </c>
      <c r="Q111" s="31">
        <v>0.72602633583492326</v>
      </c>
      <c r="R111" s="32">
        <v>0.7016758784836058</v>
      </c>
    </row>
    <row r="112" spans="1:18" x14ac:dyDescent="0.25">
      <c r="A112" s="30">
        <v>708</v>
      </c>
      <c r="B112" s="31">
        <v>10.66807433296845</v>
      </c>
      <c r="C112" s="31">
        <v>8.4543083730963442</v>
      </c>
      <c r="D112" s="31">
        <v>6.6395711795752304</v>
      </c>
      <c r="E112" s="31">
        <v>5.1722060205070122</v>
      </c>
      <c r="F112" s="31">
        <v>4.0041383536536674</v>
      </c>
      <c r="G112" s="31">
        <v>3.0908758264372049</v>
      </c>
      <c r="H112" s="31">
        <v>2.3915082759397182</v>
      </c>
      <c r="I112" s="31">
        <v>1.8687077289033449</v>
      </c>
      <c r="J112" s="31">
        <v>1.488728401730294</v>
      </c>
      <c r="K112" s="31">
        <v>1.221406700482824</v>
      </c>
      <c r="L112" s="31">
        <v>1.0401612208832689</v>
      </c>
      <c r="M112" s="31">
        <v>0.92199274831399824</v>
      </c>
      <c r="N112" s="31">
        <v>0.84748425781746128</v>
      </c>
      <c r="O112" s="31">
        <v>0.80080091409618293</v>
      </c>
      <c r="P112" s="31">
        <v>0.76969007151269697</v>
      </c>
      <c r="Q112" s="31">
        <v>0.7454812740896487</v>
      </c>
      <c r="R112" s="32">
        <v>0.72308625550968875</v>
      </c>
    </row>
    <row r="113" spans="1:18" x14ac:dyDescent="0.25">
      <c r="A113" s="30">
        <v>728</v>
      </c>
      <c r="B113" s="31">
        <v>11.050403552703189</v>
      </c>
      <c r="C113" s="31">
        <v>8.7696452410109913</v>
      </c>
      <c r="D113" s="31">
        <v>6.8965166948339736</v>
      </c>
      <c r="E113" s="31">
        <v>5.3787877695678894</v>
      </c>
      <c r="F113" s="31">
        <v>4.167810510268529</v>
      </c>
      <c r="G113" s="31">
        <v>3.2185191516517522</v>
      </c>
      <c r="H113" s="31">
        <v>2.4894301180934808</v>
      </c>
      <c r="I113" s="31">
        <v>1.942642023629692</v>
      </c>
      <c r="J113" s="31">
        <v>1.543835671956419</v>
      </c>
      <c r="K113" s="31">
        <v>1.2622740564297661</v>
      </c>
      <c r="L113" s="31">
        <v>1.0708023600658929</v>
      </c>
      <c r="M113" s="31">
        <v>0.94584795554100709</v>
      </c>
      <c r="N113" s="31">
        <v>0.86742040519138386</v>
      </c>
      <c r="O113" s="31">
        <v>0.81911146101338339</v>
      </c>
      <c r="P113" s="31">
        <v>0.78809506466339307</v>
      </c>
      <c r="Q113" s="31">
        <v>0.76512734745786293</v>
      </c>
      <c r="R113" s="32">
        <v>0.74454663037331437</v>
      </c>
    </row>
    <row r="114" spans="1:18" x14ac:dyDescent="0.25">
      <c r="A114" s="30">
        <v>748</v>
      </c>
      <c r="B114" s="31">
        <v>11.44646163821313</v>
      </c>
      <c r="C114" s="31">
        <v>9.0971696224985354</v>
      </c>
      <c r="D114" s="31">
        <v>7.1642001270575744</v>
      </c>
      <c r="E114" s="31">
        <v>5.5947495945798362</v>
      </c>
      <c r="F114" s="31">
        <v>4.3395966574149369</v>
      </c>
      <c r="G114" s="31">
        <v>3.3531021375725749</v>
      </c>
      <c r="H114" s="31">
        <v>2.593209046722504</v>
      </c>
      <c r="I114" s="31">
        <v>2.021442586194536</v>
      </c>
      <c r="J114" s="31">
        <v>1.602910146978533</v>
      </c>
      <c r="K114" s="31">
        <v>1.3063013097244389</v>
      </c>
      <c r="L114" s="31">
        <v>1.103887844742252</v>
      </c>
      <c r="M114" s="31">
        <v>0.97152371200200449</v>
      </c>
      <c r="N114" s="31">
        <v>0.88864506113382025</v>
      </c>
      <c r="O114" s="31">
        <v>0.8382702314278756</v>
      </c>
      <c r="P114" s="31">
        <v>0.80699975183439154</v>
      </c>
      <c r="Q114" s="31">
        <v>0.785016340963679</v>
      </c>
      <c r="R114" s="32">
        <v>0.76608490708606425</v>
      </c>
    </row>
    <row r="115" spans="1:18" x14ac:dyDescent="0.25">
      <c r="A115" s="33">
        <v>768</v>
      </c>
      <c r="B115" s="34">
        <v>11.85666480530465</v>
      </c>
      <c r="C115" s="34">
        <v>9.4372738523528739</v>
      </c>
      <c r="D115" s="34">
        <v>7.4429899300274416</v>
      </c>
      <c r="E115" s="34">
        <v>5.8204360683117624</v>
      </c>
      <c r="F115" s="34">
        <v>4.5198174868493002</v>
      </c>
      <c r="G115" s="34">
        <v>3.4949215949435799</v>
      </c>
      <c r="H115" s="34">
        <v>2.7031179915581962</v>
      </c>
      <c r="I115" s="34">
        <v>2.1053584653167889</v>
      </c>
      <c r="J115" s="34">
        <v>1.666176994503054</v>
      </c>
      <c r="K115" s="34">
        <v>1.3536897470607709</v>
      </c>
      <c r="L115" s="34">
        <v>1.139595080593774</v>
      </c>
      <c r="M115" s="34">
        <v>0.99917354236592992</v>
      </c>
      <c r="N115" s="34">
        <v>0.91128786930118899</v>
      </c>
      <c r="O115" s="34">
        <v>0.8583829879835696</v>
      </c>
      <c r="P115" s="34">
        <v>0.82648601465712812</v>
      </c>
      <c r="Q115" s="34">
        <v>0.80520625522601097</v>
      </c>
      <c r="R115" s="35">
        <v>0.7877352052543678</v>
      </c>
    </row>
    <row r="118" spans="1:18" ht="28.9" customHeight="1" x14ac:dyDescent="0.5">
      <c r="A118" s="1" t="s">
        <v>31</v>
      </c>
    </row>
    <row r="119" spans="1:18" ht="32.1" customHeight="1" x14ac:dyDescent="0.25"/>
    <row r="120" spans="1:18" x14ac:dyDescent="0.25">
      <c r="A120" s="2"/>
      <c r="B120" s="3"/>
      <c r="C120" s="3"/>
      <c r="D120" s="4"/>
    </row>
    <row r="121" spans="1:18" x14ac:dyDescent="0.25">
      <c r="A121" s="5" t="s">
        <v>32</v>
      </c>
      <c r="B121" s="6">
        <v>1.875</v>
      </c>
      <c r="C121" s="6" t="s">
        <v>12</v>
      </c>
      <c r="D121" s="7"/>
    </row>
    <row r="122" spans="1:18" x14ac:dyDescent="0.25">
      <c r="A122" s="8"/>
      <c r="B122" s="9"/>
      <c r="C122" s="9"/>
      <c r="D122" s="10"/>
    </row>
    <row r="125" spans="1:18" ht="48" customHeight="1" x14ac:dyDescent="0.25">
      <c r="A125" s="21" t="s">
        <v>33</v>
      </c>
      <c r="B125" s="23" t="s">
        <v>34</v>
      </c>
    </row>
    <row r="126" spans="1:18" x14ac:dyDescent="0.25">
      <c r="A126" s="5">
        <v>0</v>
      </c>
      <c r="B126" s="32">
        <v>0.37000000000000011</v>
      </c>
    </row>
    <row r="127" spans="1:18" x14ac:dyDescent="0.25">
      <c r="A127" s="5">
        <v>0.125</v>
      </c>
      <c r="B127" s="32">
        <v>0.37360624999999992</v>
      </c>
    </row>
    <row r="128" spans="1:18" x14ac:dyDescent="0.25">
      <c r="A128" s="5">
        <v>0.25</v>
      </c>
      <c r="B128" s="32">
        <v>0.28381944444444462</v>
      </c>
    </row>
    <row r="129" spans="1:2" x14ac:dyDescent="0.25">
      <c r="A129" s="5">
        <v>0.375</v>
      </c>
      <c r="B129" s="32">
        <v>0.18470669642857149</v>
      </c>
    </row>
    <row r="130" spans="1:2" x14ac:dyDescent="0.25">
      <c r="A130" s="5">
        <v>0.5</v>
      </c>
      <c r="B130" s="32">
        <v>0.13861111111111121</v>
      </c>
    </row>
    <row r="131" spans="1:2" x14ac:dyDescent="0.25">
      <c r="A131" s="5">
        <v>0.625</v>
      </c>
      <c r="B131" s="32">
        <v>0.1207638888888891</v>
      </c>
    </row>
    <row r="132" spans="1:2" x14ac:dyDescent="0.25">
      <c r="A132" s="5">
        <v>0.75</v>
      </c>
      <c r="B132" s="32">
        <v>0.1029166666666668</v>
      </c>
    </row>
    <row r="133" spans="1:2" x14ac:dyDescent="0.25">
      <c r="A133" s="5">
        <v>0.875</v>
      </c>
      <c r="B133" s="32">
        <v>7.3402777777778039E-2</v>
      </c>
    </row>
    <row r="134" spans="1:2" x14ac:dyDescent="0.25">
      <c r="A134" s="5">
        <v>1</v>
      </c>
      <c r="B134" s="32">
        <v>4.7222222222222283E-2</v>
      </c>
    </row>
    <row r="135" spans="1:2" x14ac:dyDescent="0.25">
      <c r="A135" s="5">
        <v>1.125</v>
      </c>
      <c r="B135" s="32">
        <v>2.406250000000033E-2</v>
      </c>
    </row>
    <row r="136" spans="1:2" x14ac:dyDescent="0.25">
      <c r="A136" s="5">
        <v>1.25</v>
      </c>
      <c r="B136" s="32">
        <v>1.7691249050873381E-2</v>
      </c>
    </row>
    <row r="137" spans="1:2" x14ac:dyDescent="0.25">
      <c r="A137" s="5">
        <v>1.375</v>
      </c>
      <c r="B137" s="32">
        <v>1.3727699530516779E-2</v>
      </c>
    </row>
    <row r="138" spans="1:2" x14ac:dyDescent="0.25">
      <c r="A138" s="5">
        <v>1.5</v>
      </c>
      <c r="B138" s="32">
        <v>1.0735849056604071E-2</v>
      </c>
    </row>
    <row r="139" spans="1:2" x14ac:dyDescent="0.25">
      <c r="A139" s="5">
        <v>1.625</v>
      </c>
      <c r="B139" s="32">
        <v>8.2594339622642527E-3</v>
      </c>
    </row>
    <row r="140" spans="1:2" x14ac:dyDescent="0.25">
      <c r="A140" s="5">
        <v>1.75</v>
      </c>
      <c r="B140" s="32">
        <v>5.7830188679246497E-3</v>
      </c>
    </row>
    <row r="141" spans="1:2" x14ac:dyDescent="0.25">
      <c r="A141" s="5">
        <v>1.875</v>
      </c>
      <c r="B141" s="32">
        <v>0</v>
      </c>
    </row>
    <row r="142" spans="1:2" x14ac:dyDescent="0.25">
      <c r="A142" s="5">
        <v>2</v>
      </c>
      <c r="B142" s="32">
        <v>0</v>
      </c>
    </row>
    <row r="143" spans="1:2" x14ac:dyDescent="0.25">
      <c r="A143" s="5">
        <v>2.125</v>
      </c>
      <c r="B143" s="32">
        <v>0</v>
      </c>
    </row>
    <row r="144" spans="1:2" x14ac:dyDescent="0.25">
      <c r="A144" s="5">
        <v>2.25</v>
      </c>
      <c r="B144" s="32">
        <v>0</v>
      </c>
    </row>
    <row r="145" spans="1:2" x14ac:dyDescent="0.25">
      <c r="A145" s="5">
        <v>2.375</v>
      </c>
      <c r="B145" s="32">
        <v>0</v>
      </c>
    </row>
    <row r="146" spans="1:2" x14ac:dyDescent="0.25">
      <c r="A146" s="5">
        <v>2.5</v>
      </c>
      <c r="B146" s="32">
        <v>0</v>
      </c>
    </row>
    <row r="147" spans="1:2" x14ac:dyDescent="0.25">
      <c r="A147" s="5">
        <v>2.625</v>
      </c>
      <c r="B147" s="32">
        <v>0</v>
      </c>
    </row>
    <row r="148" spans="1:2" x14ac:dyDescent="0.25">
      <c r="A148" s="5">
        <v>2.75</v>
      </c>
      <c r="B148" s="32">
        <v>0</v>
      </c>
    </row>
    <row r="149" spans="1:2" x14ac:dyDescent="0.25">
      <c r="A149" s="5">
        <v>2.875</v>
      </c>
      <c r="B149" s="32">
        <v>0</v>
      </c>
    </row>
    <row r="150" spans="1:2" x14ac:dyDescent="0.25">
      <c r="A150" s="5">
        <v>3</v>
      </c>
      <c r="B150" s="32">
        <v>0</v>
      </c>
    </row>
    <row r="151" spans="1:2" x14ac:dyDescent="0.25">
      <c r="A151" s="5">
        <v>3.125</v>
      </c>
      <c r="B151" s="32">
        <v>0</v>
      </c>
    </row>
    <row r="152" spans="1:2" x14ac:dyDescent="0.25">
      <c r="A152" s="5">
        <v>3.25</v>
      </c>
      <c r="B152" s="32">
        <v>0</v>
      </c>
    </row>
    <row r="153" spans="1:2" x14ac:dyDescent="0.25">
      <c r="A153" s="5">
        <v>3.375</v>
      </c>
      <c r="B153" s="32">
        <v>0</v>
      </c>
    </row>
    <row r="154" spans="1:2" x14ac:dyDescent="0.25">
      <c r="A154" s="5">
        <v>3.5</v>
      </c>
      <c r="B154" s="32">
        <v>0</v>
      </c>
    </row>
    <row r="155" spans="1:2" x14ac:dyDescent="0.25">
      <c r="A155" s="5">
        <v>3.625</v>
      </c>
      <c r="B155" s="32">
        <v>0</v>
      </c>
    </row>
    <row r="156" spans="1:2" x14ac:dyDescent="0.25">
      <c r="A156" s="5">
        <v>3.75</v>
      </c>
      <c r="B156" s="32">
        <v>0</v>
      </c>
    </row>
    <row r="157" spans="1:2" x14ac:dyDescent="0.25">
      <c r="A157" s="5">
        <v>3.875</v>
      </c>
      <c r="B157" s="32">
        <v>0</v>
      </c>
    </row>
    <row r="158" spans="1:2" x14ac:dyDescent="0.25">
      <c r="A158" s="8">
        <v>4</v>
      </c>
      <c r="B158" s="35">
        <v>0</v>
      </c>
    </row>
  </sheetData>
  <sheetProtection algorithmName="SHA-512" hashValue="wcvKs2mA4XGrUlSP1KXnN2J+eGiIEw4mVY/Atw2mSrAPtYiaMiLj6U5opPbPAYdL7zEM6AAUmUA4D7ZZ6IufeA==" saltValue="G8SCkmS2fRTd8ZExNLQr1Q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8"/>
  <dimension ref="A15:AH126"/>
  <sheetViews>
    <sheetView workbookViewId="0">
      <selection activeCell="B36" sqref="B36"/>
    </sheetView>
  </sheetViews>
  <sheetFormatPr defaultRowHeight="15" x14ac:dyDescent="0.25"/>
  <cols>
    <col min="1" max="1" width="30.7109375" customWidth="1"/>
  </cols>
  <sheetData>
    <row r="15" spans="1:4" ht="28.9" customHeight="1" x14ac:dyDescent="0.5">
      <c r="A15" s="1" t="s">
        <v>42</v>
      </c>
      <c r="B15" s="1"/>
    </row>
    <row r="16" spans="1:4" x14ac:dyDescent="0.25">
      <c r="A16" s="2"/>
      <c r="B16" s="3"/>
      <c r="C16" s="3"/>
      <c r="D16" s="4"/>
    </row>
    <row r="17" spans="1:4" x14ac:dyDescent="0.25">
      <c r="A17" s="5" t="s">
        <v>1</v>
      </c>
      <c r="B17" s="6" t="s">
        <v>2</v>
      </c>
      <c r="C17" s="6"/>
      <c r="D17" s="7"/>
    </row>
    <row r="18" spans="1:4" x14ac:dyDescent="0.25">
      <c r="A18" s="5" t="s">
        <v>3</v>
      </c>
      <c r="B18" s="6" t="s">
        <v>4</v>
      </c>
      <c r="C18" s="6"/>
      <c r="D18" s="7"/>
    </row>
    <row r="19" spans="1:4" x14ac:dyDescent="0.25">
      <c r="A19" s="5" t="s">
        <v>5</v>
      </c>
      <c r="B19" s="6" t="s">
        <v>6</v>
      </c>
      <c r="C19" s="6"/>
      <c r="D19" s="7"/>
    </row>
    <row r="20" spans="1:4" x14ac:dyDescent="0.25">
      <c r="A20" s="8"/>
      <c r="B20" s="9"/>
      <c r="C20" s="9"/>
      <c r="D20" s="10"/>
    </row>
    <row r="22" spans="1:4" x14ac:dyDescent="0.25">
      <c r="A22" s="2"/>
      <c r="B22" s="11"/>
      <c r="C22" s="11"/>
      <c r="D22" s="12"/>
    </row>
    <row r="23" spans="1:4" x14ac:dyDescent="0.25">
      <c r="A23" s="5" t="s">
        <v>7</v>
      </c>
      <c r="B23" s="13">
        <v>300</v>
      </c>
      <c r="C23" s="13" t="s">
        <v>8</v>
      </c>
      <c r="D23" s="14"/>
    </row>
    <row r="24" spans="1:4" x14ac:dyDescent="0.25">
      <c r="A24" s="5" t="s">
        <v>9</v>
      </c>
      <c r="B24" s="13">
        <v>14</v>
      </c>
      <c r="C24" s="13" t="s">
        <v>10</v>
      </c>
      <c r="D24" s="14"/>
    </row>
    <row r="25" spans="1:4" x14ac:dyDescent="0.25">
      <c r="A25" s="8"/>
      <c r="B25" s="15"/>
      <c r="C25" s="15"/>
      <c r="D25" s="16"/>
    </row>
    <row r="29" spans="1:4" x14ac:dyDescent="0.25">
      <c r="A29" s="2"/>
      <c r="B29" s="3"/>
      <c r="C29" s="3"/>
      <c r="D29" s="4"/>
    </row>
    <row r="30" spans="1:4" x14ac:dyDescent="0.25">
      <c r="A30" s="5" t="s">
        <v>11</v>
      </c>
      <c r="B30" s="6">
        <v>0.46</v>
      </c>
      <c r="C30" s="6" t="s">
        <v>12</v>
      </c>
      <c r="D30" s="7"/>
    </row>
    <row r="31" spans="1:4" x14ac:dyDescent="0.25">
      <c r="A31" s="8"/>
      <c r="B31" s="9"/>
      <c r="C31" s="9"/>
      <c r="D31" s="10"/>
    </row>
    <row r="34" spans="1:5" ht="28.9" customHeight="1" x14ac:dyDescent="0.5">
      <c r="A34" s="1" t="s">
        <v>13</v>
      </c>
    </row>
    <row r="36" spans="1:5" x14ac:dyDescent="0.25">
      <c r="A36" s="17" t="s">
        <v>14</v>
      </c>
      <c r="B36" s="17">
        <v>100</v>
      </c>
      <c r="C36" s="17" t="s">
        <v>15</v>
      </c>
      <c r="D36" s="17" t="s">
        <v>16</v>
      </c>
      <c r="E36" s="17"/>
    </row>
    <row r="37" spans="1:5" hidden="1" x14ac:dyDescent="0.25">
      <c r="A37" s="17" t="s">
        <v>17</v>
      </c>
      <c r="B37" s="17">
        <v>14.7</v>
      </c>
      <c r="C37" s="17"/>
      <c r="D37" s="17" t="s">
        <v>16</v>
      </c>
      <c r="E37" s="17"/>
    </row>
    <row r="38" spans="1:5" hidden="1" x14ac:dyDescent="0.25">
      <c r="A38" s="17" t="s">
        <v>18</v>
      </c>
      <c r="B38" s="17">
        <v>9.0079999999999991</v>
      </c>
      <c r="C38" s="17"/>
      <c r="D38" s="17" t="s">
        <v>16</v>
      </c>
      <c r="E38" s="17"/>
    </row>
    <row r="40" spans="1:5" ht="48" customHeight="1" x14ac:dyDescent="0.25">
      <c r="A40" s="18" t="s">
        <v>19</v>
      </c>
      <c r="B40" s="19" t="s">
        <v>20</v>
      </c>
      <c r="C40" s="19" t="s">
        <v>21</v>
      </c>
      <c r="D40" s="19" t="s">
        <v>22</v>
      </c>
      <c r="E40" s="20" t="s">
        <v>23</v>
      </c>
    </row>
    <row r="41" spans="1:5" x14ac:dyDescent="0.25">
      <c r="A41" s="5">
        <v>-80</v>
      </c>
      <c r="B41" s="6">
        <v>51.803876611580463</v>
      </c>
      <c r="C41" s="6">
        <f>51.8038766115804 * $B$36 / 100</f>
        <v>51.803876611580399</v>
      </c>
      <c r="D41" s="6">
        <v>6.5271733333333337</v>
      </c>
      <c r="E41" s="7">
        <f>6.52717333333333 * $B$36 / 100</f>
        <v>6.5271733333333302</v>
      </c>
    </row>
    <row r="42" spans="1:5" x14ac:dyDescent="0.25">
      <c r="A42" s="5">
        <v>-70</v>
      </c>
      <c r="B42" s="6">
        <v>52.623692657718841</v>
      </c>
      <c r="C42" s="6">
        <f>52.6236926577188 * $B$36 / 100</f>
        <v>52.623692657718806</v>
      </c>
      <c r="D42" s="6">
        <v>6.6304683333333347</v>
      </c>
      <c r="E42" s="7">
        <f>6.63046833333333 * $B$36 / 100</f>
        <v>6.6304683333333294</v>
      </c>
    </row>
    <row r="43" spans="1:5" x14ac:dyDescent="0.25">
      <c r="A43" s="5">
        <v>-60</v>
      </c>
      <c r="B43" s="6">
        <v>53.443508703857219</v>
      </c>
      <c r="C43" s="6">
        <f>53.4435087038572 * $B$36 / 100</f>
        <v>53.443508703857198</v>
      </c>
      <c r="D43" s="6">
        <v>6.733763333333334</v>
      </c>
      <c r="E43" s="7">
        <f>6.73376333333333 * $B$36 / 100</f>
        <v>6.7337633333333304</v>
      </c>
    </row>
    <row r="44" spans="1:5" x14ac:dyDescent="0.25">
      <c r="A44" s="5">
        <v>-50</v>
      </c>
      <c r="B44" s="6">
        <v>54.263324749995597</v>
      </c>
      <c r="C44" s="6">
        <f>54.2633247499956 * $B$36 / 100</f>
        <v>54.263324749995597</v>
      </c>
      <c r="D44" s="6">
        <v>6.8370583333333341</v>
      </c>
      <c r="E44" s="7">
        <f>6.83705833333333 * $B$36 / 100</f>
        <v>6.8370583333333297</v>
      </c>
    </row>
    <row r="45" spans="1:5" x14ac:dyDescent="0.25">
      <c r="A45" s="5">
        <v>-40</v>
      </c>
      <c r="B45" s="6">
        <v>55.083140796133968</v>
      </c>
      <c r="C45" s="6">
        <f>55.0831407961339 * $B$36 / 100</f>
        <v>55.083140796133897</v>
      </c>
      <c r="D45" s="6">
        <v>6.9403533333333334</v>
      </c>
      <c r="E45" s="7">
        <f>6.94035333333333 * $B$36 / 100</f>
        <v>6.9403533333333307</v>
      </c>
    </row>
    <row r="46" spans="1:5" x14ac:dyDescent="0.25">
      <c r="A46" s="5">
        <v>-30</v>
      </c>
      <c r="B46" s="6">
        <v>55.902956842272353</v>
      </c>
      <c r="C46" s="6">
        <f>55.9029568422723 * $B$36 / 100</f>
        <v>55.902956842272303</v>
      </c>
      <c r="D46" s="6">
        <v>7.0436483333333344</v>
      </c>
      <c r="E46" s="7">
        <f>7.04364833333333 * $B$36 / 100</f>
        <v>7.04364833333333</v>
      </c>
    </row>
    <row r="47" spans="1:5" x14ac:dyDescent="0.25">
      <c r="A47" s="5">
        <v>-20</v>
      </c>
      <c r="B47" s="6">
        <v>56.722772888410731</v>
      </c>
      <c r="C47" s="6">
        <f>56.7227728884107 * $B$36 / 100</f>
        <v>56.722772888410702</v>
      </c>
      <c r="D47" s="6">
        <v>7.1469433333333328</v>
      </c>
      <c r="E47" s="7">
        <f>7.14694333333333 * $B$36 / 100</f>
        <v>7.1469433333333301</v>
      </c>
    </row>
    <row r="48" spans="1:5" x14ac:dyDescent="0.25">
      <c r="A48" s="5">
        <v>-10</v>
      </c>
      <c r="B48" s="6">
        <v>57.542588934549123</v>
      </c>
      <c r="C48" s="6">
        <f>57.5425889345491 * $B$36 / 100</f>
        <v>57.542588934549102</v>
      </c>
      <c r="D48" s="6">
        <v>7.2502383333333338</v>
      </c>
      <c r="E48" s="7">
        <f>7.25023833333333 * $B$36 / 100</f>
        <v>7.2502383333333311</v>
      </c>
    </row>
    <row r="49" spans="1:18" x14ac:dyDescent="0.25">
      <c r="A49" s="5">
        <v>0</v>
      </c>
      <c r="B49" s="6">
        <v>58.362404980687486</v>
      </c>
      <c r="C49" s="6">
        <f>58.3624049806874 * $B$36 / 100</f>
        <v>58.362404980687394</v>
      </c>
      <c r="D49" s="6">
        <v>7.3535333333333339</v>
      </c>
      <c r="E49" s="7">
        <f>7.35353333333333 * $B$36 / 100</f>
        <v>7.3535333333333304</v>
      </c>
    </row>
    <row r="50" spans="1:18" x14ac:dyDescent="0.25">
      <c r="A50" s="5">
        <v>10</v>
      </c>
      <c r="B50" s="6">
        <v>59.066345967301011</v>
      </c>
      <c r="C50" s="6">
        <f>59.066345967301 * $B$36 / 100</f>
        <v>59.066345967300997</v>
      </c>
      <c r="D50" s="6">
        <v>7.4422283333333326</v>
      </c>
      <c r="E50" s="7">
        <f>7.44222833333333 * $B$36 / 100</f>
        <v>7.4422283333333299</v>
      </c>
    </row>
    <row r="51" spans="1:18" x14ac:dyDescent="0.25">
      <c r="A51" s="5">
        <v>20</v>
      </c>
      <c r="B51" s="6">
        <v>59.770286953914542</v>
      </c>
      <c r="C51" s="6">
        <f>59.7702869539145 * $B$36 / 100</f>
        <v>59.7702869539145</v>
      </c>
      <c r="D51" s="6">
        <v>7.5309233333333339</v>
      </c>
      <c r="E51" s="7">
        <f>7.53092333333333 * $B$36 / 100</f>
        <v>7.5309233333333303</v>
      </c>
    </row>
    <row r="52" spans="1:18" x14ac:dyDescent="0.25">
      <c r="A52" s="5">
        <v>30</v>
      </c>
      <c r="B52" s="6">
        <v>60.474227940528053</v>
      </c>
      <c r="C52" s="6">
        <f>60.474227940528 * $B$36 / 100</f>
        <v>60.474227940527996</v>
      </c>
      <c r="D52" s="6">
        <v>7.6196183333333334</v>
      </c>
      <c r="E52" s="7">
        <f>7.61961833333333 * $B$36 / 100</f>
        <v>7.6196183333333298</v>
      </c>
    </row>
    <row r="53" spans="1:18" x14ac:dyDescent="0.25">
      <c r="A53" s="5">
        <v>40</v>
      </c>
      <c r="B53" s="6">
        <v>61.17816892714157</v>
      </c>
      <c r="C53" s="6">
        <f>61.1781689271415 * $B$36 / 100</f>
        <v>61.178168927141499</v>
      </c>
      <c r="D53" s="6">
        <v>7.7083133333333329</v>
      </c>
      <c r="E53" s="7">
        <f>7.70831333333333 * $B$36 / 100</f>
        <v>7.7083133333333311</v>
      </c>
    </row>
    <row r="54" spans="1:18" x14ac:dyDescent="0.25">
      <c r="A54" s="5">
        <v>50</v>
      </c>
      <c r="B54" s="6">
        <v>61.882109913755087</v>
      </c>
      <c r="C54" s="6">
        <f>61.882109913755 * $B$36 / 100</f>
        <v>61.882109913755002</v>
      </c>
      <c r="D54" s="6">
        <v>7.7970083333333324</v>
      </c>
      <c r="E54" s="7">
        <f>7.79700833333333 * $B$36 / 100</f>
        <v>7.7970083333333298</v>
      </c>
    </row>
    <row r="55" spans="1:18" x14ac:dyDescent="0.25">
      <c r="A55" s="5">
        <v>60</v>
      </c>
      <c r="B55" s="6">
        <v>62.586050900368612</v>
      </c>
      <c r="C55" s="6">
        <f>62.5860509003686 * $B$36 / 100</f>
        <v>62.586050900368598</v>
      </c>
      <c r="D55" s="6">
        <v>7.8857033333333328</v>
      </c>
      <c r="E55" s="7">
        <f>7.88570333333333 * $B$36 / 100</f>
        <v>7.8857033333333302</v>
      </c>
    </row>
    <row r="56" spans="1:18" x14ac:dyDescent="0.25">
      <c r="A56" s="5">
        <v>70</v>
      </c>
      <c r="B56" s="6">
        <v>63.289991886982129</v>
      </c>
      <c r="C56" s="6">
        <f>63.2899918869821 * $B$36 / 100</f>
        <v>63.289991886982101</v>
      </c>
      <c r="D56" s="6">
        <v>7.9743983333333324</v>
      </c>
      <c r="E56" s="7">
        <f>7.97439833333333 * $B$36 / 100</f>
        <v>7.9743983333333297</v>
      </c>
    </row>
    <row r="57" spans="1:18" x14ac:dyDescent="0.25">
      <c r="A57" s="8">
        <v>80</v>
      </c>
      <c r="B57" s="9">
        <v>63.993932873595647</v>
      </c>
      <c r="C57" s="9">
        <f>63.9939328735956 * $B$36 / 100</f>
        <v>63.993932873595597</v>
      </c>
      <c r="D57" s="9">
        <v>8.0630933333333328</v>
      </c>
      <c r="E57" s="10">
        <f>8.06309333333333 * $B$36 / 100</f>
        <v>8.0630933333333292</v>
      </c>
    </row>
    <row r="59" spans="1:18" ht="28.9" customHeight="1" x14ac:dyDescent="0.5">
      <c r="A59" s="1" t="s">
        <v>24</v>
      </c>
      <c r="B59" s="1"/>
    </row>
    <row r="60" spans="1:18" x14ac:dyDescent="0.25">
      <c r="A60" s="21" t="s">
        <v>25</v>
      </c>
      <c r="B60" s="22">
        <v>0</v>
      </c>
      <c r="C60" s="22">
        <v>6.25</v>
      </c>
      <c r="D60" s="22">
        <v>12.5</v>
      </c>
      <c r="E60" s="22">
        <v>18.75</v>
      </c>
      <c r="F60" s="22">
        <v>25</v>
      </c>
      <c r="G60" s="22">
        <v>31.25</v>
      </c>
      <c r="H60" s="22">
        <v>37.5</v>
      </c>
      <c r="I60" s="22">
        <v>43.75</v>
      </c>
      <c r="J60" s="22">
        <v>50</v>
      </c>
      <c r="K60" s="22">
        <v>56.25</v>
      </c>
      <c r="L60" s="22">
        <v>62.5</v>
      </c>
      <c r="M60" s="22">
        <v>68.75</v>
      </c>
      <c r="N60" s="22">
        <v>75</v>
      </c>
      <c r="O60" s="22">
        <v>81.25</v>
      </c>
      <c r="P60" s="22">
        <v>87.5</v>
      </c>
      <c r="Q60" s="22">
        <v>93.75</v>
      </c>
      <c r="R60" s="23">
        <v>100</v>
      </c>
    </row>
    <row r="61" spans="1:18" x14ac:dyDescent="0.25">
      <c r="A61" s="5" t="s">
        <v>26</v>
      </c>
      <c r="B61" s="6">
        <f>0 * $B$38 + (1 - 0) * $B$37</f>
        <v>14.7</v>
      </c>
      <c r="C61" s="6">
        <f>0.0625 * $B$38 + (1 - 0.0625) * $B$37</f>
        <v>14.344250000000001</v>
      </c>
      <c r="D61" s="6">
        <f>0.125 * $B$38 + (1 - 0.125) * $B$37</f>
        <v>13.988499999999998</v>
      </c>
      <c r="E61" s="6">
        <f>0.1875 * $B$38 + (1 - 0.1875) * $B$37</f>
        <v>13.63275</v>
      </c>
      <c r="F61" s="6">
        <f>0.25 * $B$38 + (1 - 0.25) * $B$37</f>
        <v>13.276999999999997</v>
      </c>
      <c r="G61" s="6">
        <f>0.3125 * $B$38 + (1 - 0.3125) * $B$37</f>
        <v>12.921249999999999</v>
      </c>
      <c r="H61" s="6">
        <f>0.375 * $B$38 + (1 - 0.375) * $B$37</f>
        <v>12.5655</v>
      </c>
      <c r="I61" s="6">
        <f>0.4375 * $B$38 + (1 - 0.4375) * $B$37</f>
        <v>12.20975</v>
      </c>
      <c r="J61" s="6">
        <f>0.5 * $B$38 + (1 - 0.5) * $B$37</f>
        <v>11.853999999999999</v>
      </c>
      <c r="K61" s="6">
        <f>0.5625 * $B$38 + (1 - 0.5625) * $B$37</f>
        <v>11.498249999999999</v>
      </c>
      <c r="L61" s="6">
        <f>0.625 * $B$38 + (1 - 0.625) * $B$37</f>
        <v>11.142499999999998</v>
      </c>
      <c r="M61" s="6">
        <f>0.6875 * $B$38 + (1 - 0.6875) * $B$37</f>
        <v>10.78675</v>
      </c>
      <c r="N61" s="6">
        <f>0.75 * $B$38 + (1 - 0.75) * $B$37</f>
        <v>10.430999999999999</v>
      </c>
      <c r="O61" s="6">
        <f>0.8125 * $B$38 + (1 - 0.8125) * $B$37</f>
        <v>10.075249999999999</v>
      </c>
      <c r="P61" s="6">
        <f>0.875 * $B$38 + (1 - 0.875) * $B$37</f>
        <v>9.7195</v>
      </c>
      <c r="Q61" s="6">
        <f>0.9375 * $B$38 + (1 - 0.9375) * $B$37</f>
        <v>9.3637499999999978</v>
      </c>
      <c r="R61" s="7">
        <f>1 * $B$38 + (1 - 1) * $B$37</f>
        <v>9.0079999999999991</v>
      </c>
    </row>
    <row r="62" spans="1:18" x14ac:dyDescent="0.25">
      <c r="A62" s="8" t="s">
        <v>27</v>
      </c>
      <c r="B62" s="9">
        <f>(0 * $B$38 + (1 - 0) * $B$37) * $B$36 / 100</f>
        <v>14.7</v>
      </c>
      <c r="C62" s="9">
        <f>(0.0625 * $B$38 + (1 - 0.0625) * $B$37) * $B$36 / 100</f>
        <v>14.344249999999999</v>
      </c>
      <c r="D62" s="9">
        <f>(0.125 * $B$38 + (1 - 0.125) * $B$37) * $B$36 / 100</f>
        <v>13.988499999999998</v>
      </c>
      <c r="E62" s="9">
        <f>(0.1875 * $B$38 + (1 - 0.1875) * $B$37) * $B$36 / 100</f>
        <v>13.632749999999998</v>
      </c>
      <c r="F62" s="9">
        <f>(0.25 * $B$38 + (1 - 0.25) * $B$37) * $B$36 / 100</f>
        <v>13.276999999999997</v>
      </c>
      <c r="G62" s="9">
        <f>(0.3125 * $B$38 + (1 - 0.3125) * $B$37) * $B$36 / 100</f>
        <v>12.921249999999997</v>
      </c>
      <c r="H62" s="9">
        <f>(0.375 * $B$38 + (1 - 0.375) * $B$37) * $B$36 / 100</f>
        <v>12.5655</v>
      </c>
      <c r="I62" s="9">
        <f>(0.4375 * $B$38 + (1 - 0.4375) * $B$37) * $B$36 / 100</f>
        <v>12.20975</v>
      </c>
      <c r="J62" s="9">
        <f>(0.5 * $B$38 + (1 - 0.5) * $B$37) * $B$36 / 100</f>
        <v>11.853999999999999</v>
      </c>
      <c r="K62" s="9">
        <f>(0.5625 * $B$38 + (1 - 0.5625) * $B$37) * $B$36 / 100</f>
        <v>11.498249999999999</v>
      </c>
      <c r="L62" s="9">
        <f>(0.625 * $B$38 + (1 - 0.625) * $B$37) * $B$36 / 100</f>
        <v>11.142499999999998</v>
      </c>
      <c r="M62" s="9">
        <f>(0.6875 * $B$38 + (1 - 0.6875) * $B$37) * $B$36 / 100</f>
        <v>10.78675</v>
      </c>
      <c r="N62" s="9">
        <f>(0.75 * $B$38 + (1 - 0.75) * $B$37) * $B$36 / 100</f>
        <v>10.430999999999999</v>
      </c>
      <c r="O62" s="9">
        <f>(0.8125 * $B$38 + (1 - 0.8125) * $B$37) * $B$36 / 100</f>
        <v>10.075249999999999</v>
      </c>
      <c r="P62" s="9">
        <f>(0.875 * $B$38 + (1 - 0.875) * $B$37) * $B$36 / 100</f>
        <v>9.7195</v>
      </c>
      <c r="Q62" s="9">
        <f>(0.9375 * $B$38 + (1 - 0.9375) * $B$37) * $B$36 / 100</f>
        <v>9.3637499999999978</v>
      </c>
      <c r="R62" s="10">
        <f>(1 * $B$38 + (1 - 1) * $B$37) * $B$36 / 100</f>
        <v>9.0079999999999991</v>
      </c>
    </row>
    <row r="64" spans="1:18" ht="28.9" customHeight="1" x14ac:dyDescent="0.5">
      <c r="A64" s="1" t="s">
        <v>28</v>
      </c>
      <c r="B64" s="1"/>
    </row>
    <row r="65" spans="1:34" x14ac:dyDescent="0.25">
      <c r="A65" s="24" t="s">
        <v>29</v>
      </c>
      <c r="B65" s="25" t="s">
        <v>19</v>
      </c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6"/>
    </row>
    <row r="66" spans="1:34" x14ac:dyDescent="0.25">
      <c r="A66" s="27" t="s">
        <v>43</v>
      </c>
      <c r="B66" s="28">
        <v>4.5</v>
      </c>
      <c r="C66" s="28">
        <v>5</v>
      </c>
      <c r="D66" s="28">
        <v>5.5</v>
      </c>
      <c r="E66" s="28">
        <v>6</v>
      </c>
      <c r="F66" s="28">
        <v>6.5</v>
      </c>
      <c r="G66" s="28">
        <v>7</v>
      </c>
      <c r="H66" s="28">
        <v>7.5</v>
      </c>
      <c r="I66" s="28">
        <v>8</v>
      </c>
      <c r="J66" s="28">
        <v>8.5</v>
      </c>
      <c r="K66" s="28">
        <v>9</v>
      </c>
      <c r="L66" s="28">
        <v>9.5</v>
      </c>
      <c r="M66" s="28">
        <v>10</v>
      </c>
      <c r="N66" s="28">
        <v>10.5</v>
      </c>
      <c r="O66" s="28">
        <v>11</v>
      </c>
      <c r="P66" s="28">
        <v>11.5</v>
      </c>
      <c r="Q66" s="28">
        <v>12</v>
      </c>
      <c r="R66" s="28">
        <v>12.5</v>
      </c>
      <c r="S66" s="28">
        <v>13</v>
      </c>
      <c r="T66" s="28">
        <v>13.5</v>
      </c>
      <c r="U66" s="28">
        <v>14</v>
      </c>
      <c r="V66" s="28">
        <v>14.5</v>
      </c>
      <c r="W66" s="28">
        <v>15</v>
      </c>
      <c r="X66" s="28">
        <v>15.5</v>
      </c>
      <c r="Y66" s="28">
        <v>16</v>
      </c>
      <c r="Z66" s="28">
        <v>16.5</v>
      </c>
      <c r="AA66" s="28">
        <v>17</v>
      </c>
      <c r="AB66" s="28">
        <v>17.5</v>
      </c>
      <c r="AC66" s="28">
        <v>18</v>
      </c>
      <c r="AD66" s="28">
        <v>18.5</v>
      </c>
      <c r="AE66" s="28">
        <v>19</v>
      </c>
      <c r="AF66" s="28">
        <v>19.5</v>
      </c>
      <c r="AG66" s="28">
        <v>20</v>
      </c>
      <c r="AH66" s="29">
        <v>20.5</v>
      </c>
    </row>
    <row r="67" spans="1:34" x14ac:dyDescent="0.25">
      <c r="A67" s="30">
        <v>-80</v>
      </c>
      <c r="B67" s="31">
        <v>4.8025126212395461</v>
      </c>
      <c r="C67" s="31">
        <v>4.2437725765814962</v>
      </c>
      <c r="D67" s="31">
        <v>3.7475580550992169</v>
      </c>
      <c r="E67" s="31">
        <v>3.3086905476910178</v>
      </c>
      <c r="F67" s="31">
        <v>2.9222154321089699</v>
      </c>
      <c r="G67" s="31">
        <v>2.5834019729588928</v>
      </c>
      <c r="H67" s="31">
        <v>2.2877433217003622</v>
      </c>
      <c r="I67" s="31">
        <v>2.0309565166467012</v>
      </c>
      <c r="J67" s="31">
        <v>1.808982482964995</v>
      </c>
      <c r="K67" s="31">
        <v>1.617986032676084</v>
      </c>
      <c r="L67" s="31">
        <v>1.454355864654556</v>
      </c>
      <c r="M67" s="31">
        <v>1.3147045646287461</v>
      </c>
      <c r="N67" s="31">
        <v>1.1958686051807621</v>
      </c>
      <c r="O67" s="31">
        <v>1.094908345746449</v>
      </c>
      <c r="P67" s="31">
        <v>1.0091080326154149</v>
      </c>
      <c r="Q67" s="31">
        <v>0.93597579893101268</v>
      </c>
      <c r="R67" s="31">
        <v>0.87324366469036152</v>
      </c>
      <c r="S67" s="31">
        <v>0.818867536744325</v>
      </c>
      <c r="T67" s="31">
        <v>0.77102720879752251</v>
      </c>
      <c r="U67" s="31">
        <v>0.72812636140833054</v>
      </c>
      <c r="V67" s="31">
        <v>0.68879256198885397</v>
      </c>
      <c r="W67" s="31">
        <v>0.65187726480501418</v>
      </c>
      <c r="X67" s="31">
        <v>0.61645581097641411</v>
      </c>
      <c r="Y67" s="31">
        <v>0.58182742847645497</v>
      </c>
      <c r="Z67" s="31">
        <v>0.54751523213228381</v>
      </c>
      <c r="AA67" s="31">
        <v>0.51326622362477015</v>
      </c>
      <c r="AB67" s="31">
        <v>0.47905129148860759</v>
      </c>
      <c r="AC67" s="31">
        <v>0.44506521111216391</v>
      </c>
      <c r="AD67" s="31">
        <v>0.41172664473759468</v>
      </c>
      <c r="AE67" s="31">
        <v>0.37967814146084322</v>
      </c>
      <c r="AF67" s="31">
        <v>0.34978613723154689</v>
      </c>
      <c r="AG67" s="31">
        <v>0.32314095485311622</v>
      </c>
      <c r="AH67" s="32">
        <v>0.30105680398276752</v>
      </c>
    </row>
    <row r="68" spans="1:34" x14ac:dyDescent="0.25">
      <c r="A68" s="30">
        <v>-70</v>
      </c>
      <c r="B68" s="31">
        <v>4.8856284535937293</v>
      </c>
      <c r="C68" s="31">
        <v>4.3169439122325164</v>
      </c>
      <c r="D68" s="31">
        <v>3.8116346442642048</v>
      </c>
      <c r="E68" s="31">
        <v>3.3644863022929772</v>
      </c>
      <c r="F68" s="31">
        <v>2.970508425776762</v>
      </c>
      <c r="G68" s="31">
        <v>2.624934441027249</v>
      </c>
      <c r="H68" s="31">
        <v>2.3232216612098751</v>
      </c>
      <c r="I68" s="31">
        <v>2.0610512863438282</v>
      </c>
      <c r="J68" s="31">
        <v>1.834328403302063</v>
      </c>
      <c r="K68" s="31">
        <v>1.6391819858112759</v>
      </c>
      <c r="L68" s="31">
        <v>1.4719648944519259</v>
      </c>
      <c r="M68" s="31">
        <v>1.32925387665821</v>
      </c>
      <c r="N68" s="31">
        <v>1.207849566718102</v>
      </c>
      <c r="O68" s="31">
        <v>1.104776485773316</v>
      </c>
      <c r="P68" s="31">
        <v>1.0172830418193071</v>
      </c>
      <c r="Q68" s="31">
        <v>0.94284152970531732</v>
      </c>
      <c r="R68" s="31">
        <v>0.87914813113431622</v>
      </c>
      <c r="S68" s="31">
        <v>0.82412291466303245</v>
      </c>
      <c r="T68" s="31">
        <v>0.77590983570195082</v>
      </c>
      <c r="U68" s="31">
        <v>0.73287673651531604</v>
      </c>
      <c r="V68" s="31">
        <v>0.69361534622109744</v>
      </c>
      <c r="W68" s="31">
        <v>0.65694128079107728</v>
      </c>
      <c r="X68" s="31">
        <v>0.62189404305071772</v>
      </c>
      <c r="Y68" s="31">
        <v>0.58773702267930084</v>
      </c>
      <c r="Z68" s="31">
        <v>0.55395749620982049</v>
      </c>
      <c r="AA68" s="31">
        <v>0.52026662702901827</v>
      </c>
      <c r="AB68" s="31">
        <v>0.48659946537745752</v>
      </c>
      <c r="AC68" s="31">
        <v>0.45311494834936827</v>
      </c>
      <c r="AD68" s="31">
        <v>0.42019589989276451</v>
      </c>
      <c r="AE68" s="31">
        <v>0.38844903080947202</v>
      </c>
      <c r="AF68" s="31">
        <v>0.35870493875497211</v>
      </c>
      <c r="AG68" s="31">
        <v>0.33201810823854322</v>
      </c>
      <c r="AH68" s="32">
        <v>0.30966691062328522</v>
      </c>
    </row>
    <row r="69" spans="1:34" x14ac:dyDescent="0.25">
      <c r="A69" s="30">
        <v>-60</v>
      </c>
      <c r="B69" s="31">
        <v>4.9702927402745409</v>
      </c>
      <c r="C69" s="31">
        <v>4.3915333045657841</v>
      </c>
      <c r="D69" s="31">
        <v>3.8770046271917078</v>
      </c>
      <c r="E69" s="31">
        <v>3.421456522462353</v>
      </c>
      <c r="F69" s="31">
        <v>3.0198626915415181</v>
      </c>
      <c r="G69" s="31">
        <v>2.667420722446749</v>
      </c>
      <c r="H69" s="31">
        <v>2.3595520900493612</v>
      </c>
      <c r="I69" s="31">
        <v>2.091902156074398</v>
      </c>
      <c r="J69" s="31">
        <v>1.860340169100676</v>
      </c>
      <c r="K69" s="31">
        <v>1.6609592645607649</v>
      </c>
      <c r="L69" s="31">
        <v>1.490076464740983</v>
      </c>
      <c r="M69" s="31">
        <v>1.344232678781393</v>
      </c>
      <c r="N69" s="31">
        <v>1.2201927026758339</v>
      </c>
      <c r="O69" s="31">
        <v>1.1149452192718801</v>
      </c>
      <c r="P69" s="31">
        <v>1.0257027982708611</v>
      </c>
      <c r="Q69" s="31">
        <v>0.94990189622787258</v>
      </c>
      <c r="R69" s="31">
        <v>0.88520285655175313</v>
      </c>
      <c r="S69" s="31">
        <v>0.82948990950509915</v>
      </c>
      <c r="T69" s="31">
        <v>0.78087117220425828</v>
      </c>
      <c r="U69" s="31">
        <v>0.73767864861932764</v>
      </c>
      <c r="V69" s="31">
        <v>0.6984682295741732</v>
      </c>
      <c r="W69" s="31">
        <v>0.66201969274640882</v>
      </c>
      <c r="X69" s="31">
        <v>0.62733670266738184</v>
      </c>
      <c r="Y69" s="31">
        <v>0.59364681072221803</v>
      </c>
      <c r="Z69" s="31">
        <v>0.56040145514979223</v>
      </c>
      <c r="AA69" s="31">
        <v>0.52727596104272401</v>
      </c>
      <c r="AB69" s="31">
        <v>0.49416954034741412</v>
      </c>
      <c r="AC69" s="31">
        <v>0.46120529186395309</v>
      </c>
      <c r="AD69" s="31">
        <v>0.42873020124626748</v>
      </c>
      <c r="AE69" s="31">
        <v>0.39731514100197179</v>
      </c>
      <c r="AF69" s="31">
        <v>0.36775487049247613</v>
      </c>
      <c r="AG69" s="31">
        <v>0.34106803593290291</v>
      </c>
      <c r="AH69" s="32">
        <v>0.31849717039220948</v>
      </c>
    </row>
    <row r="70" spans="1:34" x14ac:dyDescent="0.25">
      <c r="A70" s="30">
        <v>-50</v>
      </c>
      <c r="B70" s="31">
        <v>5.056540360164953</v>
      </c>
      <c r="C70" s="31">
        <v>4.4675741399009921</v>
      </c>
      <c r="D70" s="31">
        <v>3.9436998976381288</v>
      </c>
      <c r="E70" s="31">
        <v>3.4796316093922659</v>
      </c>
      <c r="F70" s="31">
        <v>3.0703071380330722</v>
      </c>
      <c r="G70" s="31">
        <v>2.7108882332839581</v>
      </c>
      <c r="H70" s="31">
        <v>2.396760531722093</v>
      </c>
      <c r="I70" s="31">
        <v>2.1235335567783999</v>
      </c>
      <c r="J70" s="31">
        <v>1.8870407187375531</v>
      </c>
      <c r="K70" s="31">
        <v>1.683339314737982</v>
      </c>
      <c r="L70" s="31">
        <v>1.5087105287718741</v>
      </c>
      <c r="M70" s="31">
        <v>1.3596594316851609</v>
      </c>
      <c r="N70" s="31">
        <v>1.2329149811775371</v>
      </c>
      <c r="O70" s="31">
        <v>1.125430021802452</v>
      </c>
      <c r="P70" s="31">
        <v>1.034381284967093</v>
      </c>
      <c r="Q70" s="31">
        <v>0.95716938893241921</v>
      </c>
      <c r="R70" s="31">
        <v>0.89141883881314032</v>
      </c>
      <c r="S70" s="31">
        <v>0.83497802657770681</v>
      </c>
      <c r="T70" s="31">
        <v>0.78591923104834649</v>
      </c>
      <c r="U70" s="31">
        <v>0.7425386179010075</v>
      </c>
      <c r="V70" s="31">
        <v>0.70335623966542204</v>
      </c>
      <c r="W70" s="31">
        <v>0.66711603572507283</v>
      </c>
      <c r="X70" s="31">
        <v>0.63278583231716989</v>
      </c>
      <c r="Y70" s="31">
        <v>0.59955734253271065</v>
      </c>
      <c r="Z70" s="31">
        <v>0.56684616631643081</v>
      </c>
      <c r="AA70" s="31">
        <v>0.53429179046681174</v>
      </c>
      <c r="AB70" s="31">
        <v>0.5017575886360871</v>
      </c>
      <c r="AC70" s="31">
        <v>0.46933082133028309</v>
      </c>
      <c r="AD70" s="31">
        <v>0.43732263590913328</v>
      </c>
      <c r="AE70" s="31">
        <v>0.40626806658615072</v>
      </c>
      <c r="AF70" s="31">
        <v>0.3769260344285747</v>
      </c>
      <c r="AG70" s="31">
        <v>0.35027934735743221</v>
      </c>
      <c r="AH70" s="32">
        <v>0.32753470014750968</v>
      </c>
    </row>
    <row r="71" spans="1:34" x14ac:dyDescent="0.25">
      <c r="A71" s="30">
        <v>-40</v>
      </c>
      <c r="B71" s="31">
        <v>5.1444065806225989</v>
      </c>
      <c r="C71" s="31">
        <v>4.545100193032491</v>
      </c>
      <c r="D71" s="31">
        <v>4.0117527378345388</v>
      </c>
      <c r="E71" s="31">
        <v>3.5390423527505148</v>
      </c>
      <c r="F71" s="31">
        <v>3.1218710623559431</v>
      </c>
      <c r="G71" s="31">
        <v>2.755364778080104</v>
      </c>
      <c r="H71" s="31">
        <v>2.434873298206031</v>
      </c>
      <c r="I71" s="31">
        <v>2.155970307870509</v>
      </c>
      <c r="J71" s="31">
        <v>1.9144533790640801</v>
      </c>
      <c r="K71" s="31">
        <v>1.706343970631039</v>
      </c>
      <c r="L71" s="31">
        <v>1.527887428269435</v>
      </c>
      <c r="M71" s="31">
        <v>1.375552984531063</v>
      </c>
      <c r="N71" s="31">
        <v>1.24603375882149</v>
      </c>
      <c r="O71" s="31">
        <v>1.136246757400019</v>
      </c>
      <c r="P71" s="31">
        <v>1.04333287337971</v>
      </c>
      <c r="Q71" s="31">
        <v>0.96465688672738537</v>
      </c>
      <c r="R71" s="31">
        <v>0.89780746426361779</v>
      </c>
      <c r="S71" s="31">
        <v>0.84059715966272275</v>
      </c>
      <c r="T71" s="31">
        <v>0.79106241345279482</v>
      </c>
      <c r="U71" s="31">
        <v>0.74746355301564182</v>
      </c>
      <c r="V71" s="31">
        <v>0.70828479258686272</v>
      </c>
      <c r="W71" s="31">
        <v>0.67223423325581066</v>
      </c>
      <c r="X71" s="31">
        <v>0.63824386296555524</v>
      </c>
      <c r="Y71" s="31">
        <v>0.60546955651295753</v>
      </c>
      <c r="Z71" s="31">
        <v>0.57329107554861181</v>
      </c>
      <c r="AA71" s="31">
        <v>0.54131206857686132</v>
      </c>
      <c r="AB71" s="31">
        <v>0.50936007095584834</v>
      </c>
      <c r="AC71" s="31">
        <v>0.47748650489741351</v>
      </c>
      <c r="AD71" s="31">
        <v>0.44596667946715829</v>
      </c>
      <c r="AE71" s="31">
        <v>0.41529979058448419</v>
      </c>
      <c r="AF71" s="31">
        <v>0.38620892102250082</v>
      </c>
      <c r="AG71" s="31">
        <v>0.35964104040805372</v>
      </c>
      <c r="AH71" s="32">
        <v>0.33676700522184783</v>
      </c>
    </row>
    <row r="72" spans="1:34" x14ac:dyDescent="0.25">
      <c r="A72" s="30">
        <v>-30</v>
      </c>
      <c r="B72" s="31">
        <v>5.2339270574797974</v>
      </c>
      <c r="C72" s="31">
        <v>4.6241456272293222</v>
      </c>
      <c r="D72" s="31">
        <v>4.0811958184867052</v>
      </c>
      <c r="E72" s="31">
        <v>3.5997199306795742</v>
      </c>
      <c r="F72" s="31">
        <v>3.174584150089327</v>
      </c>
      <c r="G72" s="31">
        <v>2.800878549851102</v>
      </c>
      <c r="H72" s="31">
        <v>2.473917089953805</v>
      </c>
      <c r="I72" s="31">
        <v>2.189237617240078</v>
      </c>
      <c r="J72" s="31">
        <v>1.942601865406332</v>
      </c>
      <c r="K72" s="31">
        <v>1.7299954550027239</v>
      </c>
      <c r="L72" s="31">
        <v>1.5476278934331711</v>
      </c>
      <c r="M72" s="31">
        <v>1.3919325749553311</v>
      </c>
      <c r="N72" s="31">
        <v>1.259566780680633</v>
      </c>
      <c r="O72" s="31">
        <v>1.147411678574249</v>
      </c>
      <c r="P72" s="31">
        <v>1.052572323455099</v>
      </c>
      <c r="Q72" s="31">
        <v>0.97237765699587619</v>
      </c>
      <c r="R72" s="31">
        <v>0.9043805077230076</v>
      </c>
      <c r="S72" s="31">
        <v>0.84635759101668828</v>
      </c>
      <c r="T72" s="31">
        <v>0.7963095091108614</v>
      </c>
      <c r="U72" s="31">
        <v>0.75246075109321164</v>
      </c>
      <c r="V72" s="31">
        <v>0.71325969290519786</v>
      </c>
      <c r="W72" s="31">
        <v>0.67737859734203509</v>
      </c>
      <c r="X72" s="31">
        <v>0.64371361405265826</v>
      </c>
      <c r="Y72" s="31">
        <v>0.61138477953980053</v>
      </c>
      <c r="Z72" s="31">
        <v>0.57973601715991652</v>
      </c>
      <c r="AA72" s="31">
        <v>0.54833513712321735</v>
      </c>
      <c r="AB72" s="31">
        <v>0.51697383649370265</v>
      </c>
      <c r="AC72" s="31">
        <v>0.48566769918907032</v>
      </c>
      <c r="AD72" s="31">
        <v>0.45465619598082069</v>
      </c>
      <c r="AE72" s="31">
        <v>0.42440268449417567</v>
      </c>
      <c r="AF72" s="31">
        <v>0.3955944092081296</v>
      </c>
      <c r="AG72" s="31">
        <v>0.36914250145540339</v>
      </c>
      <c r="AH72" s="32">
        <v>0.34618197942252837</v>
      </c>
    </row>
    <row r="73" spans="1:34" x14ac:dyDescent="0.25">
      <c r="A73" s="30">
        <v>-20</v>
      </c>
      <c r="B73" s="31">
        <v>5.3251378350435514</v>
      </c>
      <c r="C73" s="31">
        <v>4.7047449942352078</v>
      </c>
      <c r="D73" s="31">
        <v>4.1520621987750568</v>
      </c>
      <c r="E73" s="31">
        <v>3.6616959097966011</v>
      </c>
      <c r="F73" s="31">
        <v>3.2284764752870951</v>
      </c>
      <c r="G73" s="31">
        <v>2.8474581300875501</v>
      </c>
      <c r="H73" s="31">
        <v>2.5139189958927282</v>
      </c>
      <c r="I73" s="31">
        <v>2.2233610812511402</v>
      </c>
      <c r="J73" s="31">
        <v>1.971510281565058</v>
      </c>
      <c r="K73" s="31">
        <v>1.754316379090509</v>
      </c>
      <c r="L73" s="31">
        <v>1.567953042937271</v>
      </c>
      <c r="M73" s="31">
        <v>1.408817829068868</v>
      </c>
      <c r="N73" s="31">
        <v>1.273532180302593</v>
      </c>
      <c r="O73" s="31">
        <v>1.1589414263094819</v>
      </c>
      <c r="P73" s="31">
        <v>1.062114783614323</v>
      </c>
      <c r="Q73" s="31">
        <v>0.98034535559566638</v>
      </c>
      <c r="R73" s="31">
        <v>0.91115013248581567</v>
      </c>
      <c r="S73" s="31">
        <v>0.85226999137081549</v>
      </c>
      <c r="T73" s="31">
        <v>0.801669696190488</v>
      </c>
      <c r="U73" s="31">
        <v>0.75753789773837255</v>
      </c>
      <c r="V73" s="31">
        <v>0.71828713366179919</v>
      </c>
      <c r="W73" s="31">
        <v>0.68255382846184998</v>
      </c>
      <c r="X73" s="31">
        <v>0.64919829349331004</v>
      </c>
      <c r="Y73" s="31">
        <v>0.61730472696478944</v>
      </c>
      <c r="Z73" s="31">
        <v>0.58618121393861244</v>
      </c>
      <c r="AA73" s="31">
        <v>0.55535972633082575</v>
      </c>
      <c r="AB73" s="31">
        <v>0.52459612291133184</v>
      </c>
      <c r="AC73" s="31">
        <v>0.49387014930367268</v>
      </c>
      <c r="AD73" s="31">
        <v>0.46338543798520609</v>
      </c>
      <c r="AE73" s="31">
        <v>0.43356950828704321</v>
      </c>
      <c r="AF73" s="31">
        <v>0.40507376639402898</v>
      </c>
      <c r="AG73" s="31">
        <v>0.37877350534473569</v>
      </c>
      <c r="AH73" s="32">
        <v>0.35576790503158762</v>
      </c>
    </row>
    <row r="74" spans="1:34" x14ac:dyDescent="0.25">
      <c r="A74" s="30">
        <v>-10</v>
      </c>
      <c r="B74" s="31">
        <v>5.4180753460955247</v>
      </c>
      <c r="C74" s="31">
        <v>4.7869332342685276</v>
      </c>
      <c r="D74" s="31">
        <v>4.2243853263547049</v>
      </c>
      <c r="E74" s="31">
        <v>3.7250022451934202</v>
      </c>
      <c r="F74" s="31">
        <v>3.2835785004777969</v>
      </c>
      <c r="G74" s="31">
        <v>2.8951324887547072</v>
      </c>
      <c r="H74" s="31">
        <v>2.55490649342478</v>
      </c>
      <c r="I74" s="31">
        <v>2.25836668474239</v>
      </c>
      <c r="J74" s="31">
        <v>2.001203119815679</v>
      </c>
      <c r="K74" s="31">
        <v>1.7793297426065311</v>
      </c>
      <c r="L74" s="31">
        <v>1.5888843839305931</v>
      </c>
      <c r="M74" s="31">
        <v>1.4262287614572531</v>
      </c>
      <c r="N74" s="31">
        <v>1.2879484797096641</v>
      </c>
      <c r="O74" s="31">
        <v>1.170853030064736</v>
      </c>
      <c r="P74" s="31">
        <v>1.0719757907531109</v>
      </c>
      <c r="Q74" s="31">
        <v>0.98857402685921703</v>
      </c>
      <c r="R74" s="31">
        <v>0.91812889032120681</v>
      </c>
      <c r="S74" s="31">
        <v>0.858345419930998</v>
      </c>
      <c r="T74" s="31">
        <v>0.80715254133428427</v>
      </c>
      <c r="U74" s="31">
        <v>0.7627030670304602</v>
      </c>
      <c r="V74" s="31">
        <v>0.72337369637272086</v>
      </c>
      <c r="W74" s="31">
        <v>0.68776501556800429</v>
      </c>
      <c r="X74" s="31">
        <v>0.65470149767698005</v>
      </c>
      <c r="Y74" s="31">
        <v>0.62323150261411253</v>
      </c>
      <c r="Z74" s="31">
        <v>0.59262727714758878</v>
      </c>
      <c r="AA74" s="31">
        <v>0.56238495489933782</v>
      </c>
      <c r="AB74" s="31">
        <v>0.5322245563450867</v>
      </c>
      <c r="AC74" s="31">
        <v>0.5020899888142818</v>
      </c>
      <c r="AD74" s="31">
        <v>0.47214904649014128</v>
      </c>
      <c r="AE74" s="31">
        <v>0.44279341040960679</v>
      </c>
      <c r="AF74" s="31">
        <v>0.41463864846342002</v>
      </c>
      <c r="AG74" s="31">
        <v>0.38852421539600712</v>
      </c>
      <c r="AH74" s="32">
        <v>0.3655134528056827</v>
      </c>
    </row>
    <row r="75" spans="1:34" x14ac:dyDescent="0.25">
      <c r="A75" s="30">
        <v>0</v>
      </c>
      <c r="B75" s="31">
        <v>5.5127764118920934</v>
      </c>
      <c r="C75" s="31">
        <v>4.8707456760223726</v>
      </c>
      <c r="D75" s="31">
        <v>4.2981990373554524</v>
      </c>
      <c r="E75" s="31">
        <v>3.789671280436556</v>
      </c>
      <c r="F75" s="31">
        <v>3.339921076664671</v>
      </c>
      <c r="G75" s="31">
        <v>2.9439309842925372</v>
      </c>
      <c r="H75" s="31">
        <v>2.5969074484266441</v>
      </c>
      <c r="I75" s="31">
        <v>2.2942808010272349</v>
      </c>
      <c r="J75" s="31">
        <v>2.0317052609083142</v>
      </c>
      <c r="K75" s="31">
        <v>1.8050589337376299</v>
      </c>
      <c r="L75" s="31">
        <v>1.610443812036694</v>
      </c>
      <c r="M75" s="31">
        <v>1.4441857751807561</v>
      </c>
      <c r="N75" s="31">
        <v>1.3028345893988471</v>
      </c>
      <c r="O75" s="31">
        <v>1.183163907773719</v>
      </c>
      <c r="P75" s="31">
        <v>1.082171270241902</v>
      </c>
      <c r="Q75" s="31">
        <v>0.99707810359367732</v>
      </c>
      <c r="R75" s="31">
        <v>0.92532972147305792</v>
      </c>
      <c r="S75" s="31">
        <v>0.86459532437783548</v>
      </c>
      <c r="T75" s="31">
        <v>0.8127679996595597</v>
      </c>
      <c r="U75" s="31">
        <v>0.76796472152349882</v>
      </c>
      <c r="V75" s="31">
        <v>0.72852635102869812</v>
      </c>
      <c r="W75" s="31">
        <v>0.69301763608797917</v>
      </c>
      <c r="X75" s="31">
        <v>0.66022721146786822</v>
      </c>
      <c r="Y75" s="31">
        <v>0.62916759878869055</v>
      </c>
      <c r="Z75" s="31">
        <v>0.59907520652449453</v>
      </c>
      <c r="AA75" s="31">
        <v>0.56941033000308583</v>
      </c>
      <c r="AB75" s="31">
        <v>0.53985715140605006</v>
      </c>
      <c r="AC75" s="31">
        <v>0.51032373976869572</v>
      </c>
      <c r="AD75" s="31">
        <v>0.48094205098009379</v>
      </c>
      <c r="AE75" s="31">
        <v>0.4520679277830803</v>
      </c>
      <c r="AF75" s="31">
        <v>0.42428109977425182</v>
      </c>
      <c r="AG75" s="31">
        <v>0.3983851834038924</v>
      </c>
      <c r="AH75" s="32">
        <v>0.37540768197617069</v>
      </c>
    </row>
    <row r="76" spans="1:34" x14ac:dyDescent="0.25">
      <c r="A76" s="30">
        <v>10</v>
      </c>
      <c r="B76" s="31">
        <v>5.6092782421642733</v>
      </c>
      <c r="C76" s="31">
        <v>4.9562180366644881</v>
      </c>
      <c r="D76" s="31">
        <v>4.3735375563817627</v>
      </c>
      <c r="E76" s="31">
        <v>3.8557357475671892</v>
      </c>
      <c r="F76" s="31">
        <v>3.3975354433256202</v>
      </c>
      <c r="G76" s="31">
        <v>2.9938833636156579</v>
      </c>
      <c r="H76" s="31">
        <v>2.6399501152496589</v>
      </c>
      <c r="I76" s="31">
        <v>2.3311301918937302</v>
      </c>
      <c r="J76" s="31">
        <v>2.0630419740677368</v>
      </c>
      <c r="K76" s="31">
        <v>1.831527729145296</v>
      </c>
      <c r="L76" s="31">
        <v>1.6326536113537859</v>
      </c>
      <c r="M76" s="31">
        <v>1.462709661774318</v>
      </c>
      <c r="N76" s="31">
        <v>1.318209808341785</v>
      </c>
      <c r="O76" s="31">
        <v>1.1958918658448141</v>
      </c>
      <c r="P76" s="31">
        <v>1.0927175359257839</v>
      </c>
      <c r="Q76" s="31">
        <v>1.0058724070808469</v>
      </c>
      <c r="R76" s="31">
        <v>0.93276595465989309</v>
      </c>
      <c r="S76" s="31">
        <v>0.87103154086656365</v>
      </c>
      <c r="T76" s="31">
        <v>0.81852641475827426</v>
      </c>
      <c r="U76" s="31">
        <v>0.77333171224616049</v>
      </c>
      <c r="V76" s="31">
        <v>0.73375245609514295</v>
      </c>
      <c r="W76" s="31">
        <v>0.69831755592389155</v>
      </c>
      <c r="X76" s="31">
        <v>0.66577980820479987</v>
      </c>
      <c r="Y76" s="31">
        <v>0.63511589626406628</v>
      </c>
      <c r="Z76" s="31">
        <v>0.60552639028159128</v>
      </c>
      <c r="AA76" s="31">
        <v>0.57643574729106295</v>
      </c>
      <c r="AB76" s="31">
        <v>0.54749231117992114</v>
      </c>
      <c r="AC76" s="31">
        <v>0.51856831268932879</v>
      </c>
      <c r="AD76" s="31">
        <v>0.48975986941423599</v>
      </c>
      <c r="AE76" s="31">
        <v>0.4613869858033654</v>
      </c>
      <c r="AF76" s="31">
        <v>0.43399355315911242</v>
      </c>
      <c r="AG76" s="31">
        <v>0.40834734963768687</v>
      </c>
      <c r="AH76" s="32">
        <v>0.38544004024909378</v>
      </c>
    </row>
    <row r="77" spans="1:34" x14ac:dyDescent="0.25">
      <c r="A77" s="30">
        <v>20</v>
      </c>
      <c r="B77" s="31">
        <v>5.7076184351177908</v>
      </c>
      <c r="C77" s="31">
        <v>5.0433864218373063</v>
      </c>
      <c r="D77" s="31">
        <v>4.4504354965127932</v>
      </c>
      <c r="E77" s="31">
        <v>3.9232287671011981</v>
      </c>
      <c r="F77" s="31">
        <v>3.4564532284132401</v>
      </c>
      <c r="G77" s="31">
        <v>3.045019762113387</v>
      </c>
      <c r="H77" s="31">
        <v>2.6840631367198569</v>
      </c>
      <c r="I77" s="31">
        <v>2.368942007604625</v>
      </c>
      <c r="J77" s="31">
        <v>2.0952389169934209</v>
      </c>
      <c r="K77" s="31">
        <v>1.858760293965724</v>
      </c>
      <c r="L77" s="31">
        <v>1.655536454454781</v>
      </c>
      <c r="M77" s="31">
        <v>1.481821601247566</v>
      </c>
      <c r="N77" s="31">
        <v>1.3340938239848319</v>
      </c>
      <c r="O77" s="31">
        <v>1.2090550991610769</v>
      </c>
      <c r="P77" s="31">
        <v>1.103631290124542</v>
      </c>
      <c r="Q77" s="31">
        <v>1.0149721470772419</v>
      </c>
      <c r="R77" s="31">
        <v>0.94045130707493452</v>
      </c>
      <c r="S77" s="31">
        <v>0.87766629402712759</v>
      </c>
      <c r="T77" s="31">
        <v>0.82443851869709395</v>
      </c>
      <c r="U77" s="31">
        <v>0.77881327870184691</v>
      </c>
      <c r="V77" s="31">
        <v>0.73905975851214645</v>
      </c>
      <c r="W77" s="31">
        <v>0.70367102945255677</v>
      </c>
      <c r="X77" s="31">
        <v>0.67136404970132624</v>
      </c>
      <c r="Y77" s="31">
        <v>0.64107966429050656</v>
      </c>
      <c r="Z77" s="31">
        <v>0.61198260510588098</v>
      </c>
      <c r="AA77" s="31">
        <v>0.58346149088697352</v>
      </c>
      <c r="AB77" s="31">
        <v>0.55512882722712753</v>
      </c>
      <c r="AC77" s="31">
        <v>0.52682100657334452</v>
      </c>
      <c r="AD77" s="31">
        <v>0.49859830822644108</v>
      </c>
      <c r="AE77" s="31">
        <v>0.4707448983409962</v>
      </c>
      <c r="AF77" s="31">
        <v>0.44376882992530398</v>
      </c>
      <c r="AG77" s="31">
        <v>0.41840204284141091</v>
      </c>
      <c r="AH77" s="32">
        <v>0.39560036380518321</v>
      </c>
    </row>
    <row r="78" spans="1:34" x14ac:dyDescent="0.25">
      <c r="A78" s="30">
        <v>30</v>
      </c>
      <c r="B78" s="31">
        <v>5.8078349774330249</v>
      </c>
      <c r="C78" s="31">
        <v>5.1322873256579431</v>
      </c>
      <c r="D78" s="31">
        <v>4.5289278593023683</v>
      </c>
      <c r="E78" s="31">
        <v>3.9921838480291232</v>
      </c>
      <c r="F78" s="31">
        <v>3.5167064483547912</v>
      </c>
      <c r="G78" s="31">
        <v>3.0973707036497009</v>
      </c>
      <c r="H78" s="31">
        <v>2.7292755441379399</v>
      </c>
      <c r="I78" s="31">
        <v>2.407743786897341</v>
      </c>
      <c r="J78" s="31">
        <v>2.128322135859503</v>
      </c>
      <c r="K78" s="31">
        <v>1.8867811818097719</v>
      </c>
      <c r="L78" s="31">
        <v>1.679115402387253</v>
      </c>
      <c r="M78" s="31">
        <v>1.5015431620847901</v>
      </c>
      <c r="N78" s="31">
        <v>1.350506712248996</v>
      </c>
      <c r="O78" s="31">
        <v>1.2226721910802389</v>
      </c>
      <c r="P78" s="31">
        <v>1.1149296236326229</v>
      </c>
      <c r="Q78" s="31">
        <v>1.0243929218140271</v>
      </c>
      <c r="R78" s="31">
        <v>0.94839988438607192</v>
      </c>
      <c r="S78" s="31">
        <v>0.88451219696412842</v>
      </c>
      <c r="T78" s="31">
        <v>0.83051543201734113</v>
      </c>
      <c r="U78" s="31">
        <v>0.78441904886858471</v>
      </c>
      <c r="V78" s="31">
        <v>0.74445639369448202</v>
      </c>
      <c r="W78" s="31">
        <v>0.70908469952546249</v>
      </c>
      <c r="X78" s="31">
        <v>0.6769850862456348</v>
      </c>
      <c r="Y78" s="31">
        <v>0.64706256059292677</v>
      </c>
      <c r="Z78" s="31">
        <v>0.6184460161589681</v>
      </c>
      <c r="AA78" s="31">
        <v>0.59048823338917</v>
      </c>
      <c r="AB78" s="31">
        <v>0.56276587958272206</v>
      </c>
      <c r="AC78" s="31">
        <v>0.53507950889250133</v>
      </c>
      <c r="AD78" s="31">
        <v>0.50745356232519623</v>
      </c>
      <c r="AE78" s="31">
        <v>0.48013636774122431</v>
      </c>
      <c r="AF78" s="31">
        <v>0.45360013985476072</v>
      </c>
      <c r="AG78" s="31">
        <v>0.42854098023372011</v>
      </c>
      <c r="AH78" s="32">
        <v>0.40587887729983058</v>
      </c>
    </row>
    <row r="79" spans="1:34" x14ac:dyDescent="0.25">
      <c r="A79" s="30">
        <v>40</v>
      </c>
      <c r="B79" s="31">
        <v>5.9099662442650587</v>
      </c>
      <c r="C79" s="31">
        <v>5.2229576307181844</v>
      </c>
      <c r="D79" s="31">
        <v>4.6090500347790027</v>
      </c>
      <c r="E79" s="31">
        <v>4.062634887816202</v>
      </c>
      <c r="F79" s="31">
        <v>3.578327508052229</v>
      </c>
      <c r="G79" s="31">
        <v>3.1509671005632729</v>
      </c>
      <c r="H79" s="31">
        <v>2.7756167572792938</v>
      </c>
      <c r="I79" s="31">
        <v>2.4475634569839868</v>
      </c>
      <c r="J79" s="31">
        <v>2.1623180653148131</v>
      </c>
      <c r="K79" s="31">
        <v>1.9156153347629841</v>
      </c>
      <c r="L79" s="31">
        <v>1.703413904673466</v>
      </c>
      <c r="M79" s="31">
        <v>1.521896301244974</v>
      </c>
      <c r="N79" s="31">
        <v>1.367468937529984</v>
      </c>
      <c r="O79" s="31">
        <v>1.2367621134347271</v>
      </c>
      <c r="P79" s="31">
        <v>1.1266300157191751</v>
      </c>
      <c r="Q79" s="31">
        <v>1.0341507179970639</v>
      </c>
      <c r="R79" s="31">
        <v>0.95662618073588601</v>
      </c>
      <c r="S79" s="31">
        <v>0.8915822512568764</v>
      </c>
      <c r="T79" s="31">
        <v>0.83676866373503855</v>
      </c>
      <c r="U79" s="31">
        <v>0.79015903919911346</v>
      </c>
      <c r="V79" s="31">
        <v>0.74995088553160372</v>
      </c>
      <c r="W79" s="31">
        <v>0.71456559746878057</v>
      </c>
      <c r="X79" s="31">
        <v>0.68264845660062978</v>
      </c>
      <c r="Y79" s="31">
        <v>0.65306863137092985</v>
      </c>
      <c r="Z79" s="31">
        <v>0.62491917707721178</v>
      </c>
      <c r="AA79" s="31">
        <v>0.59751703587071792</v>
      </c>
      <c r="AB79" s="31">
        <v>0.57040303675649362</v>
      </c>
      <c r="AC79" s="31">
        <v>0.5433418955933168</v>
      </c>
      <c r="AD79" s="31">
        <v>0.51632221509370524</v>
      </c>
      <c r="AE79" s="31">
        <v>0.48955648482395742</v>
      </c>
      <c r="AF79" s="31">
        <v>0.46348108120413661</v>
      </c>
      <c r="AG79" s="31">
        <v>0.43875626750796942</v>
      </c>
      <c r="AH79" s="32">
        <v>0.41626619386309832</v>
      </c>
    </row>
    <row r="80" spans="1:34" x14ac:dyDescent="0.25">
      <c r="A80" s="30">
        <v>50</v>
      </c>
      <c r="B80" s="31">
        <v>6.0140509992436364</v>
      </c>
      <c r="C80" s="31">
        <v>5.3154346080844954</v>
      </c>
      <c r="D80" s="31">
        <v>4.6908378014458778</v>
      </c>
      <c r="E80" s="31">
        <v>4.13461617240233</v>
      </c>
      <c r="F80" s="31">
        <v>3.6413492008821682</v>
      </c>
      <c r="G80" s="31">
        <v>3.2058402536674429</v>
      </c>
      <c r="H80" s="31">
        <v>2.8231165843939801</v>
      </c>
      <c r="I80" s="31">
        <v>2.4884293335513372</v>
      </c>
      <c r="J80" s="31">
        <v>2.1972535284828409</v>
      </c>
      <c r="K80" s="31">
        <v>1.945288083385573</v>
      </c>
      <c r="L80" s="31">
        <v>1.728455799310356</v>
      </c>
      <c r="M80" s="31">
        <v>1.542903364161774</v>
      </c>
      <c r="N80" s="31">
        <v>1.385001352698171</v>
      </c>
      <c r="O80" s="31">
        <v>1.251344226531631</v>
      </c>
      <c r="P80" s="31">
        <v>1.138750334127999</v>
      </c>
      <c r="Q80" s="31">
        <v>1.0442619108068789</v>
      </c>
      <c r="R80" s="31">
        <v>0.96514507874162003</v>
      </c>
      <c r="S80" s="31">
        <v>0.89888984695932539</v>
      </c>
      <c r="T80" s="31">
        <v>0.84321011134087021</v>
      </c>
      <c r="U80" s="31">
        <v>0.7960436546208447</v>
      </c>
      <c r="V80" s="31">
        <v>0.75555214638762369</v>
      </c>
      <c r="W80" s="31">
        <v>0.72012114308334951</v>
      </c>
      <c r="X80" s="31">
        <v>0.68836008800386161</v>
      </c>
      <c r="Y80" s="31">
        <v>0.65910231129881169</v>
      </c>
      <c r="Z80" s="31">
        <v>0.63140502997159065</v>
      </c>
      <c r="AA80" s="31">
        <v>0.60454934787929715</v>
      </c>
      <c r="AB80" s="31">
        <v>0.57804025573287832</v>
      </c>
      <c r="AC80" s="31">
        <v>0.55160663109691843</v>
      </c>
      <c r="AD80" s="31">
        <v>0.52520123838984389</v>
      </c>
      <c r="AE80" s="31">
        <v>0.49900072888382141</v>
      </c>
      <c r="AF80" s="31">
        <v>0.4734056407047299</v>
      </c>
      <c r="AG80" s="31">
        <v>0.44904039883221719</v>
      </c>
      <c r="AH80" s="32">
        <v>0.42675331509975578</v>
      </c>
    </row>
    <row r="81" spans="1:34" x14ac:dyDescent="0.25">
      <c r="A81" s="30">
        <v>60</v>
      </c>
      <c r="B81" s="31">
        <v>6.1201283944731832</v>
      </c>
      <c r="C81" s="31">
        <v>5.409755917298031</v>
      </c>
      <c r="D81" s="31">
        <v>4.7743273262808632</v>
      </c>
      <c r="E81" s="31">
        <v>4.2081623762021012</v>
      </c>
      <c r="F81" s="31">
        <v>3.7058047086959172</v>
      </c>
      <c r="G81" s="31">
        <v>3.2620218522502391</v>
      </c>
      <c r="H81" s="31">
        <v>2.8718052222067412</v>
      </c>
      <c r="I81" s="31">
        <v>2.5303701207608569</v>
      </c>
      <c r="J81" s="31">
        <v>2.2331557369617769</v>
      </c>
      <c r="K81" s="31">
        <v>1.9758251467124399</v>
      </c>
      <c r="L81" s="31">
        <v>1.7542653127695449</v>
      </c>
      <c r="M81" s="31">
        <v>1.564587084743529</v>
      </c>
      <c r="N81" s="31">
        <v>1.403125199098604</v>
      </c>
      <c r="O81" s="31">
        <v>1.2664382791527251</v>
      </c>
      <c r="P81" s="31">
        <v>1.1513088350775971</v>
      </c>
      <c r="Q81" s="31">
        <v>1.054743263898686</v>
      </c>
      <c r="R81" s="31">
        <v>0.97397184949521243</v>
      </c>
      <c r="S81" s="31">
        <v>0.90644876260013729</v>
      </c>
      <c r="T81" s="31">
        <v>0.84985206080020237</v>
      </c>
      <c r="U81" s="31">
        <v>0.80208368853586764</v>
      </c>
      <c r="V81" s="31">
        <v>0.76126947710136172</v>
      </c>
      <c r="W81" s="31">
        <v>0.72575914464469526</v>
      </c>
      <c r="X81" s="31">
        <v>0.69412629616758459</v>
      </c>
      <c r="Y81" s="31">
        <v>0.66516842352553784</v>
      </c>
      <c r="Z81" s="31">
        <v>0.63790690542779782</v>
      </c>
      <c r="AA81" s="31">
        <v>0.61158700743735739</v>
      </c>
      <c r="AB81" s="31">
        <v>0.58567788197098569</v>
      </c>
      <c r="AC81" s="31">
        <v>0.55987256829917531</v>
      </c>
      <c r="AD81" s="31">
        <v>0.53408799254620831</v>
      </c>
      <c r="AE81" s="31">
        <v>0.50846496769008476</v>
      </c>
      <c r="AF81" s="31">
        <v>0.48336819356256933</v>
      </c>
      <c r="AG81" s="31">
        <v>0.45938625684918588</v>
      </c>
      <c r="AH81" s="32">
        <v>0.43733163108923989</v>
      </c>
    </row>
    <row r="82" spans="1:34" x14ac:dyDescent="0.25">
      <c r="A82" s="30">
        <v>70</v>
      </c>
      <c r="B82" s="31">
        <v>6.2282379705328124</v>
      </c>
      <c r="C82" s="31">
        <v>5.5059596063746117</v>
      </c>
      <c r="D82" s="31">
        <v>4.8595551647365074</v>
      </c>
      <c r="E82" s="31">
        <v>4.2833085621047768</v>
      </c>
      <c r="F82" s="31">
        <v>3.7717276018194639</v>
      </c>
      <c r="G82" s="31">
        <v>3.3195439740743562</v>
      </c>
      <c r="H82" s="31">
        <v>2.9217132559169978</v>
      </c>
      <c r="I82" s="31">
        <v>2.5734149112486882</v>
      </c>
      <c r="J82" s="31">
        <v>2.2700522908244771</v>
      </c>
      <c r="K82" s="31">
        <v>2.007252632253167</v>
      </c>
      <c r="L82" s="31">
        <v>1.780867059997324</v>
      </c>
      <c r="M82" s="31">
        <v>1.5869705853732541</v>
      </c>
      <c r="N82" s="31">
        <v>1.421862106551028</v>
      </c>
      <c r="O82" s="31">
        <v>1.282064408554467</v>
      </c>
      <c r="P82" s="31">
        <v>1.164324163261137</v>
      </c>
      <c r="Q82" s="31">
        <v>1.06561192940238</v>
      </c>
      <c r="R82" s="31">
        <v>0.98312215256326696</v>
      </c>
      <c r="S82" s="31">
        <v>0.91427316518263713</v>
      </c>
      <c r="T82" s="31">
        <v>0.85670718655308598</v>
      </c>
      <c r="U82" s="31">
        <v>0.80829032282093738</v>
      </c>
      <c r="V82" s="31">
        <v>0.76711256698630226</v>
      </c>
      <c r="W82" s="31">
        <v>0.73148779890303639</v>
      </c>
      <c r="X82" s="31">
        <v>0.69995378527872443</v>
      </c>
      <c r="Y82" s="31">
        <v>0.67127217967474628</v>
      </c>
      <c r="Z82" s="31">
        <v>0.64442852250620142</v>
      </c>
      <c r="AA82" s="31">
        <v>0.6186322410419488</v>
      </c>
      <c r="AB82" s="31">
        <v>0.59331664940463114</v>
      </c>
      <c r="AC82" s="31">
        <v>0.56813894857059577</v>
      </c>
      <c r="AD82" s="31">
        <v>0.54298022636998045</v>
      </c>
      <c r="AE82" s="31">
        <v>0.51794545748666465</v>
      </c>
      <c r="AF82" s="31">
        <v>0.49336350345828711</v>
      </c>
      <c r="AG82" s="31">
        <v>0.4697871126762187</v>
      </c>
      <c r="AH82" s="32">
        <v>0.44799292038565142</v>
      </c>
    </row>
    <row r="83" spans="1:34" x14ac:dyDescent="0.25">
      <c r="A83" s="33">
        <v>80</v>
      </c>
      <c r="B83" s="34">
        <v>6.3384196564763116</v>
      </c>
      <c r="C83" s="34">
        <v>5.6040841118047471</v>
      </c>
      <c r="D83" s="34">
        <v>4.9465582607400291</v>
      </c>
      <c r="E83" s="34">
        <v>4.3600901814742992</v>
      </c>
      <c r="F83" s="34">
        <v>3.8391518390534669</v>
      </c>
      <c r="G83" s="34">
        <v>3.378439085377182</v>
      </c>
      <c r="H83" s="34">
        <v>2.9728716591988569</v>
      </c>
      <c r="I83" s="34">
        <v>2.6175931861256481</v>
      </c>
      <c r="J83" s="34">
        <v>2.307971178618474</v>
      </c>
      <c r="K83" s="34">
        <v>2.039597035992009</v>
      </c>
      <c r="L83" s="34">
        <v>1.808286044414674</v>
      </c>
      <c r="M83" s="34">
        <v>1.6100773769086429</v>
      </c>
      <c r="N83" s="34">
        <v>1.4412340933498531</v>
      </c>
      <c r="O83" s="34">
        <v>1.2982431404679871</v>
      </c>
      <c r="P83" s="34">
        <v>1.17781535184648</v>
      </c>
      <c r="Q83" s="34">
        <v>1.0768854479225329</v>
      </c>
      <c r="R83" s="34">
        <v>0.99261203598708347</v>
      </c>
      <c r="S83" s="34">
        <v>0.922377610184834</v>
      </c>
      <c r="T83" s="34">
        <v>0.86378855151424361</v>
      </c>
      <c r="U83" s="34">
        <v>0.81467512782751583</v>
      </c>
      <c r="V83" s="34">
        <v>0.77309149383060316</v>
      </c>
      <c r="W83" s="34">
        <v>0.73731569108324013</v>
      </c>
      <c r="X83" s="34">
        <v>0.70584964799887828</v>
      </c>
      <c r="Y83" s="34">
        <v>0.67741917984474942</v>
      </c>
      <c r="Z83" s="34">
        <v>0.65097398874183376</v>
      </c>
      <c r="AA83" s="34">
        <v>0.62568766366483963</v>
      </c>
      <c r="AB83" s="34">
        <v>0.60095768044228315</v>
      </c>
      <c r="AC83" s="34">
        <v>0.576405401756377</v>
      </c>
      <c r="AD83" s="34">
        <v>0.55187607714311326</v>
      </c>
      <c r="AE83" s="34">
        <v>0.52743884299225041</v>
      </c>
      <c r="AF83" s="34">
        <v>0.50338672254730454</v>
      </c>
      <c r="AG83" s="34">
        <v>0.48023662590545169</v>
      </c>
      <c r="AH83" s="35">
        <v>0.45872935001780851</v>
      </c>
    </row>
    <row r="86" spans="1:34" ht="28.9" customHeight="1" x14ac:dyDescent="0.5">
      <c r="A86" s="1" t="s">
        <v>31</v>
      </c>
    </row>
    <row r="87" spans="1:34" ht="32.1" customHeight="1" x14ac:dyDescent="0.25"/>
    <row r="88" spans="1:34" x14ac:dyDescent="0.25">
      <c r="A88" s="2"/>
      <c r="B88" s="3"/>
      <c r="C88" s="3"/>
      <c r="D88" s="4"/>
    </row>
    <row r="89" spans="1:34" x14ac:dyDescent="0.25">
      <c r="A89" s="5" t="s">
        <v>32</v>
      </c>
      <c r="B89" s="6">
        <v>1.875</v>
      </c>
      <c r="C89" s="6" t="s">
        <v>12</v>
      </c>
      <c r="D89" s="7"/>
    </row>
    <row r="90" spans="1:34" x14ac:dyDescent="0.25">
      <c r="A90" s="8"/>
      <c r="B90" s="9"/>
      <c r="C90" s="9"/>
      <c r="D90" s="10"/>
    </row>
    <row r="93" spans="1:34" ht="48" customHeight="1" x14ac:dyDescent="0.25">
      <c r="A93" s="21" t="s">
        <v>33</v>
      </c>
      <c r="B93" s="23" t="s">
        <v>34</v>
      </c>
    </row>
    <row r="94" spans="1:34" x14ac:dyDescent="0.25">
      <c r="A94" s="5">
        <v>0</v>
      </c>
      <c r="B94" s="32">
        <v>0.37000000000000011</v>
      </c>
    </row>
    <row r="95" spans="1:34" x14ac:dyDescent="0.25">
      <c r="A95" s="5">
        <v>0.125</v>
      </c>
      <c r="B95" s="32">
        <v>0.37360624999999992</v>
      </c>
    </row>
    <row r="96" spans="1:34" x14ac:dyDescent="0.25">
      <c r="A96" s="5">
        <v>0.25</v>
      </c>
      <c r="B96" s="32">
        <v>0.28381944444444462</v>
      </c>
    </row>
    <row r="97" spans="1:2" x14ac:dyDescent="0.25">
      <c r="A97" s="5">
        <v>0.375</v>
      </c>
      <c r="B97" s="32">
        <v>0.18470669642857149</v>
      </c>
    </row>
    <row r="98" spans="1:2" x14ac:dyDescent="0.25">
      <c r="A98" s="5">
        <v>0.5</v>
      </c>
      <c r="B98" s="32">
        <v>0.13861111111111121</v>
      </c>
    </row>
    <row r="99" spans="1:2" x14ac:dyDescent="0.25">
      <c r="A99" s="5">
        <v>0.625</v>
      </c>
      <c r="B99" s="32">
        <v>0.1207638888888891</v>
      </c>
    </row>
    <row r="100" spans="1:2" x14ac:dyDescent="0.25">
      <c r="A100" s="5">
        <v>0.75</v>
      </c>
      <c r="B100" s="32">
        <v>0.1029166666666668</v>
      </c>
    </row>
    <row r="101" spans="1:2" x14ac:dyDescent="0.25">
      <c r="A101" s="5">
        <v>0.875</v>
      </c>
      <c r="B101" s="32">
        <v>7.3402777777778039E-2</v>
      </c>
    </row>
    <row r="102" spans="1:2" x14ac:dyDescent="0.25">
      <c r="A102" s="5">
        <v>1</v>
      </c>
      <c r="B102" s="32">
        <v>4.7222222222222283E-2</v>
      </c>
    </row>
    <row r="103" spans="1:2" x14ac:dyDescent="0.25">
      <c r="A103" s="5">
        <v>1.125</v>
      </c>
      <c r="B103" s="32">
        <v>2.406250000000033E-2</v>
      </c>
    </row>
    <row r="104" spans="1:2" x14ac:dyDescent="0.25">
      <c r="A104" s="5">
        <v>1.25</v>
      </c>
      <c r="B104" s="32">
        <v>1.7691249050873381E-2</v>
      </c>
    </row>
    <row r="105" spans="1:2" x14ac:dyDescent="0.25">
      <c r="A105" s="5">
        <v>1.375</v>
      </c>
      <c r="B105" s="32">
        <v>1.3727699530516779E-2</v>
      </c>
    </row>
    <row r="106" spans="1:2" x14ac:dyDescent="0.25">
      <c r="A106" s="5">
        <v>1.5</v>
      </c>
      <c r="B106" s="32">
        <v>1.0735849056604071E-2</v>
      </c>
    </row>
    <row r="107" spans="1:2" x14ac:dyDescent="0.25">
      <c r="A107" s="5">
        <v>1.625</v>
      </c>
      <c r="B107" s="32">
        <v>8.2594339622642527E-3</v>
      </c>
    </row>
    <row r="108" spans="1:2" x14ac:dyDescent="0.25">
      <c r="A108" s="5">
        <v>1.75</v>
      </c>
      <c r="B108" s="32">
        <v>5.7830188679246497E-3</v>
      </c>
    </row>
    <row r="109" spans="1:2" x14ac:dyDescent="0.25">
      <c r="A109" s="5">
        <v>1.875</v>
      </c>
      <c r="B109" s="32">
        <v>0</v>
      </c>
    </row>
    <row r="110" spans="1:2" x14ac:dyDescent="0.25">
      <c r="A110" s="5">
        <v>2</v>
      </c>
      <c r="B110" s="32">
        <v>0</v>
      </c>
    </row>
    <row r="111" spans="1:2" x14ac:dyDescent="0.25">
      <c r="A111" s="5">
        <v>2.125</v>
      </c>
      <c r="B111" s="32">
        <v>0</v>
      </c>
    </row>
    <row r="112" spans="1:2" x14ac:dyDescent="0.25">
      <c r="A112" s="5">
        <v>2.25</v>
      </c>
      <c r="B112" s="32">
        <v>0</v>
      </c>
    </row>
    <row r="113" spans="1:2" x14ac:dyDescent="0.25">
      <c r="A113" s="5">
        <v>2.375</v>
      </c>
      <c r="B113" s="32">
        <v>0</v>
      </c>
    </row>
    <row r="114" spans="1:2" x14ac:dyDescent="0.25">
      <c r="A114" s="5">
        <v>2.5</v>
      </c>
      <c r="B114" s="32">
        <v>0</v>
      </c>
    </row>
    <row r="115" spans="1:2" x14ac:dyDescent="0.25">
      <c r="A115" s="5">
        <v>2.625</v>
      </c>
      <c r="B115" s="32">
        <v>0</v>
      </c>
    </row>
    <row r="116" spans="1:2" x14ac:dyDescent="0.25">
      <c r="A116" s="5">
        <v>2.75</v>
      </c>
      <c r="B116" s="32">
        <v>0</v>
      </c>
    </row>
    <row r="117" spans="1:2" x14ac:dyDescent="0.25">
      <c r="A117" s="5">
        <v>2.875</v>
      </c>
      <c r="B117" s="32">
        <v>0</v>
      </c>
    </row>
    <row r="118" spans="1:2" x14ac:dyDescent="0.25">
      <c r="A118" s="5">
        <v>3</v>
      </c>
      <c r="B118" s="32">
        <v>0</v>
      </c>
    </row>
    <row r="119" spans="1:2" x14ac:dyDescent="0.25">
      <c r="A119" s="5">
        <v>3.125</v>
      </c>
      <c r="B119" s="32">
        <v>0</v>
      </c>
    </row>
    <row r="120" spans="1:2" x14ac:dyDescent="0.25">
      <c r="A120" s="5">
        <v>3.25</v>
      </c>
      <c r="B120" s="32">
        <v>0</v>
      </c>
    </row>
    <row r="121" spans="1:2" x14ac:dyDescent="0.25">
      <c r="A121" s="5">
        <v>3.375</v>
      </c>
      <c r="B121" s="32">
        <v>0</v>
      </c>
    </row>
    <row r="122" spans="1:2" x14ac:dyDescent="0.25">
      <c r="A122" s="5">
        <v>3.5</v>
      </c>
      <c r="B122" s="32">
        <v>0</v>
      </c>
    </row>
    <row r="123" spans="1:2" x14ac:dyDescent="0.25">
      <c r="A123" s="5">
        <v>3.625</v>
      </c>
      <c r="B123" s="32">
        <v>0</v>
      </c>
    </row>
    <row r="124" spans="1:2" x14ac:dyDescent="0.25">
      <c r="A124" s="5">
        <v>3.75</v>
      </c>
      <c r="B124" s="32">
        <v>0</v>
      </c>
    </row>
    <row r="125" spans="1:2" x14ac:dyDescent="0.25">
      <c r="A125" s="5">
        <v>3.875</v>
      </c>
      <c r="B125" s="32">
        <v>0</v>
      </c>
    </row>
    <row r="126" spans="1:2" x14ac:dyDescent="0.25">
      <c r="A126" s="8">
        <v>4</v>
      </c>
      <c r="B126" s="35">
        <v>0</v>
      </c>
    </row>
  </sheetData>
  <sheetProtection algorithmName="SHA-512" hashValue="VhKBsGSgNV34xI1m+o6ga0EFY09bd1SM2B9aMwGfT/9zxpu6npyfW4hxGAThJnZSEI8iuUqiV/V9SrvchWYOpA==" saltValue="HBFayRMNJmtI/3eKaAJrhQ==" spinCount="100000" sheet="1" objects="1" scenarios="1"/>
  <protectedRanges>
    <protectedRange sqref="B36" name="Range1"/>
  </protectedRange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P01, 0411, P59</vt:lpstr>
      <vt:lpstr>E40</vt:lpstr>
      <vt:lpstr>P04</vt:lpstr>
      <vt:lpstr>P05</vt:lpstr>
      <vt:lpstr>P12</vt:lpstr>
      <vt:lpstr>E37, E38 (&lt;2009)</vt:lpstr>
      <vt:lpstr>E38 (2009+), E67, E78</vt:lpstr>
      <vt:lpstr>Generic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Steven Gerakelis</cp:lastModifiedBy>
  <dcterms:created xsi:type="dcterms:W3CDTF">2022-05-18T04:08:41Z</dcterms:created>
  <dcterms:modified xsi:type="dcterms:W3CDTF">2022-05-23T00:02:16Z</dcterms:modified>
</cp:coreProperties>
</file>