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525S\"/>
    </mc:Choice>
  </mc:AlternateContent>
  <xr:revisionPtr revIDLastSave="0" documentId="13_ncr:1_{5BCF3A71-DB16-41CC-8FF5-F590DD0AFCB9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Subaru COBB Access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" i="1" l="1"/>
  <c r="B70" i="1"/>
  <c r="B67" i="1"/>
  <c r="B74" i="1" s="1"/>
  <c r="B75" i="1" s="1"/>
  <c r="B59" i="1"/>
  <c r="J50" i="1"/>
  <c r="F59" i="1" s="1"/>
  <c r="I50" i="1"/>
  <c r="F55" i="1" s="1"/>
  <c r="H50" i="1"/>
  <c r="E55" i="1" s="1"/>
  <c r="G50" i="1"/>
  <c r="D55" i="1" s="1"/>
  <c r="F50" i="1"/>
  <c r="D59" i="1" s="1"/>
  <c r="E50" i="1"/>
  <c r="C55" i="1" s="1"/>
  <c r="D50" i="1"/>
  <c r="C59" i="1" s="1"/>
  <c r="C50" i="1"/>
  <c r="B55" i="1" s="1"/>
  <c r="B50" i="1"/>
  <c r="G28" i="1"/>
  <c r="G27" i="1"/>
  <c r="E59" i="1" l="1"/>
  <c r="I80" i="1"/>
  <c r="C80" i="1"/>
  <c r="H80" i="1"/>
  <c r="B80" i="1"/>
  <c r="G80" i="1"/>
  <c r="E80" i="1"/>
  <c r="D80" i="1"/>
  <c r="F80" i="1"/>
  <c r="B62" i="1"/>
</calcChain>
</file>

<file path=xl/sharedStrings.xml><?xml version="1.0" encoding="utf-8"?>
<sst xmlns="http://schemas.openxmlformats.org/spreadsheetml/2006/main" count="47" uniqueCount="41">
  <si>
    <t>HP525S Subaru COBB Accessport</t>
  </si>
  <si>
    <t>Injector Type:</t>
  </si>
  <si>
    <t>HP525S</t>
  </si>
  <si>
    <t>Matched Set:</t>
  </si>
  <si>
    <t>None selected</t>
  </si>
  <si>
    <t>Report Date:</t>
  </si>
  <si>
    <t>18/05/2022</t>
  </si>
  <si>
    <t>Reference Voltage:</t>
  </si>
  <si>
    <t>V</t>
  </si>
  <si>
    <t>Fuel Pressure [psi]</t>
  </si>
  <si>
    <t>Edit to update. Range: 29 to 102</t>
  </si>
  <si>
    <t>Ethanol Content [%]</t>
  </si>
  <si>
    <t>Edit to update. Range: 0 to 100</t>
  </si>
  <si>
    <t>Fuel Injector Trim</t>
  </si>
  <si>
    <t>Injector Pulse Width [ms]</t>
  </si>
  <si>
    <t>Pulse Width Adder [%]</t>
  </si>
  <si>
    <t>Minimum Small IPW [ms]</t>
  </si>
  <si>
    <t>Maximum Small IPW [ms]</t>
  </si>
  <si>
    <t>Maximum RPM, Small IPW [RPM]</t>
  </si>
  <si>
    <t>Voltage [V]</t>
  </si>
  <si>
    <t>Pressure [psi]</t>
  </si>
  <si>
    <t>Offset [ms]</t>
  </si>
  <si>
    <t>Injector Offsets (All 2.5L and 2.0L SD)</t>
  </si>
  <si>
    <t>Injector Offsets (2.0L MAF)</t>
  </si>
  <si>
    <t>Fuel Injector Scale</t>
  </si>
  <si>
    <t>Calculation Tables</t>
  </si>
  <si>
    <t>Stoich AFR (gasoline)</t>
  </si>
  <si>
    <t>Stoich AFR (ethanol)</t>
  </si>
  <si>
    <t>Stoich AFR (mixture)</t>
  </si>
  <si>
    <t>Density, gasoline [g/cc]</t>
  </si>
  <si>
    <t>Density, ethanol, [g/cc]</t>
  </si>
  <si>
    <t>Density, mixture [g/cc]</t>
  </si>
  <si>
    <t>kPa per psi [kPa/psi]</t>
  </si>
  <si>
    <t>Microseconds per minute [us/min]</t>
  </si>
  <si>
    <t>Stoichiometric load [g/rev]</t>
  </si>
  <si>
    <t>Fuel mass per rev [g/rev]</t>
  </si>
  <si>
    <t>Fuel Mass for Stoich [g]</t>
  </si>
  <si>
    <t>Fuel Pressure [kPa]</t>
  </si>
  <si>
    <t>Flow Rate [cc/min]</t>
  </si>
  <si>
    <t>Scale Factor [ms]</t>
  </si>
  <si>
    <t>Fuel Injector Scale [ms]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</si>
</sst>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###"/>
    <numFmt numFmtId="166" formatCode="0.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4" borderId="9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0" fillId="3" borderId="14" xfId="0" applyNumberFormat="1" applyFill="1" applyBorder="1"/>
    <xf numFmtId="167" fontId="0" fillId="3" borderId="14" xfId="0" applyNumberFormat="1" applyFill="1" applyBorder="1"/>
    <xf numFmtId="1" fontId="0" fillId="3" borderId="14" xfId="0" applyNumberFormat="1" applyFill="1" applyBorder="1"/>
    <xf numFmtId="167" fontId="2" fillId="2" borderId="1" xfId="0" applyNumberFormat="1" applyFont="1" applyFill="1" applyBorder="1"/>
    <xf numFmtId="167" fontId="2" fillId="2" borderId="2" xfId="0" applyNumberFormat="1" applyFont="1" applyFill="1" applyBorder="1"/>
    <xf numFmtId="167" fontId="2" fillId="2" borderId="3" xfId="0" applyNumberFormat="1" applyFont="1" applyFill="1" applyBorder="1"/>
    <xf numFmtId="167" fontId="2" fillId="2" borderId="15" xfId="0" applyNumberFormat="1" applyFont="1" applyFill="1" applyBorder="1"/>
    <xf numFmtId="167" fontId="2" fillId="2" borderId="16" xfId="0" applyNumberFormat="1" applyFont="1" applyFill="1" applyBorder="1"/>
    <xf numFmtId="167" fontId="2" fillId="2" borderId="17" xfId="0" applyNumberFormat="1" applyFont="1" applyFill="1" applyBorder="1"/>
    <xf numFmtId="167" fontId="2" fillId="2" borderId="4" xfId="0" applyNumberFormat="1" applyFont="1" applyFill="1" applyBorder="1"/>
    <xf numFmtId="168" fontId="0" fillId="3" borderId="0" xfId="0" applyNumberFormat="1" applyFill="1"/>
    <xf numFmtId="168" fontId="0" fillId="3" borderId="5" xfId="0" applyNumberFormat="1" applyFill="1" applyBorder="1"/>
    <xf numFmtId="167" fontId="2" fillId="2" borderId="6" xfId="0" applyNumberFormat="1" applyFont="1" applyFill="1" applyBorder="1"/>
    <xf numFmtId="168" fontId="0" fillId="3" borderId="7" xfId="0" applyNumberFormat="1" applyFill="1" applyBorder="1"/>
    <xf numFmtId="168" fontId="0" fillId="3" borderId="8" xfId="0" applyNumberFormat="1" applyFill="1" applyBorder="1"/>
    <xf numFmtId="167" fontId="2" fillId="2" borderId="10" xfId="0" applyNumberFormat="1" applyFont="1" applyFill="1" applyBorder="1"/>
    <xf numFmtId="167" fontId="2" fillId="2" borderId="11" xfId="0" applyNumberFormat="1" applyFont="1" applyFill="1" applyBorder="1"/>
    <xf numFmtId="167" fontId="2" fillId="2" borderId="12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57654D-53AE-4395-9CBF-85A5914C5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J81"/>
  <sheetViews>
    <sheetView tabSelected="1" workbookViewId="0">
      <selection activeCell="B27" sqref="B27:B28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1"/>
      <c r="D22" s="12"/>
    </row>
    <row r="23" spans="1:9" x14ac:dyDescent="0.25">
      <c r="A23" s="5" t="s">
        <v>7</v>
      </c>
      <c r="B23" s="13">
        <v>14</v>
      </c>
      <c r="C23" s="13" t="s">
        <v>8</v>
      </c>
      <c r="D23" s="14"/>
    </row>
    <row r="24" spans="1:9" x14ac:dyDescent="0.25">
      <c r="A24" s="8"/>
      <c r="B24" s="15"/>
      <c r="C24" s="15"/>
      <c r="D24" s="16"/>
    </row>
    <row r="27" spans="1:9" x14ac:dyDescent="0.25">
      <c r="A27" s="17" t="s">
        <v>9</v>
      </c>
      <c r="B27" s="18">
        <v>43.5</v>
      </c>
      <c r="C27" s="17" t="s">
        <v>10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8" spans="1:9" x14ac:dyDescent="0.25">
      <c r="A28" s="17" t="s">
        <v>11</v>
      </c>
      <c r="B28" s="17">
        <v>10</v>
      </c>
      <c r="C28" s="17" t="s">
        <v>12</v>
      </c>
      <c r="D28" s="17"/>
      <c r="E28" s="17"/>
      <c r="F28" s="17"/>
      <c r="G28" t="str">
        <f>IF(AND($B$28&gt;=0, $B$28&lt;=100), "", "Invalid value! Calculated values below may not be valid for this value.")</f>
        <v/>
      </c>
    </row>
    <row r="30" spans="1:9" ht="28.9" customHeight="1" x14ac:dyDescent="0.5">
      <c r="A30" s="1" t="s">
        <v>13</v>
      </c>
      <c r="B30" s="1"/>
    </row>
    <row r="31" spans="1:9" x14ac:dyDescent="0.25">
      <c r="A31" s="19" t="s">
        <v>14</v>
      </c>
      <c r="B31" s="20">
        <v>0.55000000000000004</v>
      </c>
      <c r="C31" s="20">
        <v>0.62552942446471116</v>
      </c>
      <c r="D31" s="20">
        <v>0.71143101976573231</v>
      </c>
      <c r="E31" s="20">
        <v>0.80912915698254739</v>
      </c>
      <c r="F31" s="20">
        <v>0.92024381069983585</v>
      </c>
      <c r="G31" s="20">
        <v>1.0466174204986931</v>
      </c>
      <c r="H31" s="20">
        <v>1.190345441235068</v>
      </c>
      <c r="I31" s="21">
        <v>1.353811088672664</v>
      </c>
    </row>
    <row r="32" spans="1:9" x14ac:dyDescent="0.25">
      <c r="A32" s="8" t="s">
        <v>15</v>
      </c>
      <c r="B32" s="22">
        <v>19.77832167832171</v>
      </c>
      <c r="C32" s="22">
        <v>26.223287096531749</v>
      </c>
      <c r="D32" s="22">
        <v>17.362157121993711</v>
      </c>
      <c r="E32" s="22">
        <v>10.815978816323179</v>
      </c>
      <c r="F32" s="22">
        <v>6.1076710880770397</v>
      </c>
      <c r="G32" s="22">
        <v>4.2345099023526878</v>
      </c>
      <c r="H32" s="22">
        <v>0.84955827890378388</v>
      </c>
      <c r="I32" s="23">
        <v>0</v>
      </c>
    </row>
    <row r="34" spans="1:10" x14ac:dyDescent="0.25">
      <c r="A34" s="24" t="s">
        <v>16</v>
      </c>
      <c r="B34" s="25">
        <v>0.55000000000000004</v>
      </c>
    </row>
    <row r="36" spans="1:10" x14ac:dyDescent="0.25">
      <c r="A36" s="24" t="s">
        <v>17</v>
      </c>
      <c r="B36" s="26">
        <v>1.353811088672664</v>
      </c>
    </row>
    <row r="38" spans="1:10" x14ac:dyDescent="0.25">
      <c r="A38" s="24" t="s">
        <v>18</v>
      </c>
      <c r="B38" s="27">
        <v>10000</v>
      </c>
    </row>
    <row r="40" spans="1:10" hidden="1" x14ac:dyDescent="0.25">
      <c r="A40" s="28"/>
      <c r="B40" s="29" t="s">
        <v>19</v>
      </c>
      <c r="C40" s="29"/>
      <c r="D40" s="29"/>
      <c r="E40" s="29"/>
      <c r="F40" s="29"/>
      <c r="G40" s="29"/>
      <c r="H40" s="29"/>
      <c r="I40" s="29"/>
      <c r="J40" s="30"/>
    </row>
    <row r="41" spans="1:10" hidden="1" x14ac:dyDescent="0.25">
      <c r="A41" s="31" t="s">
        <v>20</v>
      </c>
      <c r="B41" s="32">
        <v>6.5</v>
      </c>
      <c r="C41" s="32">
        <v>8</v>
      </c>
      <c r="D41" s="32">
        <v>9</v>
      </c>
      <c r="E41" s="32">
        <v>10</v>
      </c>
      <c r="F41" s="32">
        <v>11.5</v>
      </c>
      <c r="G41" s="32">
        <v>12</v>
      </c>
      <c r="H41" s="32">
        <v>14</v>
      </c>
      <c r="I41" s="32">
        <v>16</v>
      </c>
      <c r="J41" s="33">
        <v>16.5</v>
      </c>
    </row>
    <row r="42" spans="1:10" hidden="1" x14ac:dyDescent="0.25">
      <c r="A42" s="34">
        <v>29.007999999999999</v>
      </c>
      <c r="B42" s="35">
        <v>2.7479416911593448</v>
      </c>
      <c r="C42" s="35">
        <v>1.785093894957235</v>
      </c>
      <c r="D42" s="35">
        <v>1.4047252098406799</v>
      </c>
      <c r="E42" s="35">
        <v>1.1548637406567011</v>
      </c>
      <c r="F42" s="35">
        <v>0.9146788773759571</v>
      </c>
      <c r="G42" s="35">
        <v>0.85220542709068425</v>
      </c>
      <c r="H42" s="35">
        <v>0.62534794561754126</v>
      </c>
      <c r="I42" s="35">
        <v>0.44194914735543023</v>
      </c>
      <c r="J42" s="36">
        <v>0.41999265606582981</v>
      </c>
    </row>
    <row r="43" spans="1:10" hidden="1" x14ac:dyDescent="0.25">
      <c r="A43" s="34">
        <v>43.512</v>
      </c>
      <c r="B43" s="35">
        <v>3.1376605283632228</v>
      </c>
      <c r="C43" s="35">
        <v>1.967683628149095</v>
      </c>
      <c r="D43" s="35">
        <v>1.5048919366392119</v>
      </c>
      <c r="E43" s="35">
        <v>1.207522619280317</v>
      </c>
      <c r="F43" s="35">
        <v>0.94351323263429165</v>
      </c>
      <c r="G43" s="35">
        <v>0.88162736811124809</v>
      </c>
      <c r="H43" s="35">
        <v>0.67229343418321008</v>
      </c>
      <c r="I43" s="35">
        <v>0.48124523679735631</v>
      </c>
      <c r="J43" s="36">
        <v>0.44571654876872913</v>
      </c>
    </row>
    <row r="44" spans="1:10" hidden="1" x14ac:dyDescent="0.25">
      <c r="A44" s="34">
        <v>58.015999999999998</v>
      </c>
      <c r="B44" s="35">
        <v>3.7457136244279461</v>
      </c>
      <c r="C44" s="35">
        <v>2.2987078197329551</v>
      </c>
      <c r="D44" s="35">
        <v>1.715091336459929</v>
      </c>
      <c r="E44" s="35">
        <v>1.3383708508438581</v>
      </c>
      <c r="F44" s="35">
        <v>1.0150690831232621</v>
      </c>
      <c r="G44" s="35">
        <v>0.94522741776978769</v>
      </c>
      <c r="H44" s="35">
        <v>0.73563964823508243</v>
      </c>
      <c r="I44" s="35">
        <v>0.54539852972380487</v>
      </c>
      <c r="J44" s="36">
        <v>0.50251080526049208</v>
      </c>
    </row>
    <row r="45" spans="1:10" hidden="1" x14ac:dyDescent="0.25">
      <c r="A45" s="34">
        <v>72.52</v>
      </c>
      <c r="B45" s="35">
        <v>4.5691798045412177</v>
      </c>
      <c r="C45" s="35">
        <v>2.772801703612374</v>
      </c>
      <c r="D45" s="35">
        <v>2.0283295823502958</v>
      </c>
      <c r="E45" s="35">
        <v>1.538785547538676</v>
      </c>
      <c r="F45" s="35">
        <v>1.118279949750111</v>
      </c>
      <c r="G45" s="35">
        <v>1.0311245665455</v>
      </c>
      <c r="H45" s="35">
        <v>0.80024745654013074</v>
      </c>
      <c r="I45" s="35">
        <v>0.61601177318962641</v>
      </c>
      <c r="J45" s="36">
        <v>0.57116364216784632</v>
      </c>
    </row>
    <row r="46" spans="1:10" hidden="1" x14ac:dyDescent="0.25">
      <c r="A46" s="34">
        <v>87.024000000000001</v>
      </c>
      <c r="B46" s="35">
        <v>5.6202770251178418</v>
      </c>
      <c r="C46" s="35">
        <v>3.3997396449180122</v>
      </c>
      <c r="D46" s="35">
        <v>2.4527519785848861</v>
      </c>
      <c r="E46" s="35">
        <v>1.8152829527832519</v>
      </c>
      <c r="F46" s="35">
        <v>1.2572184846491421</v>
      </c>
      <c r="G46" s="35">
        <v>1.1425769361446501</v>
      </c>
      <c r="H46" s="35">
        <v>0.86611685909241487</v>
      </c>
      <c r="I46" s="35">
        <v>0.6898268454766594</v>
      </c>
      <c r="J46" s="36">
        <v>0.64760240734461405</v>
      </c>
    </row>
    <row r="47" spans="1:10" hidden="1" x14ac:dyDescent="0.25">
      <c r="A47" s="37">
        <v>101.52800000000001</v>
      </c>
      <c r="B47" s="38">
        <v>6.9263623737997069</v>
      </c>
      <c r="C47" s="38">
        <v>4.204435140007611</v>
      </c>
      <c r="D47" s="38">
        <v>3.011642960665335</v>
      </c>
      <c r="E47" s="38">
        <v>2.1895184412231279</v>
      </c>
      <c r="F47" s="38">
        <v>1.4510964711817369</v>
      </c>
      <c r="G47" s="38">
        <v>1.2979817795005459</v>
      </c>
      <c r="H47" s="38">
        <v>0.94838698711312475</v>
      </c>
      <c r="I47" s="38">
        <v>0.77872475609385816</v>
      </c>
      <c r="J47" s="39">
        <v>0.74289357987171911</v>
      </c>
    </row>
    <row r="48" spans="1:10" hidden="1" x14ac:dyDescent="0.25"/>
    <row r="49" spans="1:10" hidden="1" x14ac:dyDescent="0.25">
      <c r="A49" s="19" t="s">
        <v>19</v>
      </c>
      <c r="B49" s="20">
        <v>6.5</v>
      </c>
      <c r="C49" s="20">
        <v>8</v>
      </c>
      <c r="D49" s="20">
        <v>9</v>
      </c>
      <c r="E49" s="20">
        <v>10</v>
      </c>
      <c r="F49" s="20">
        <v>11.5</v>
      </c>
      <c r="G49" s="20">
        <v>12</v>
      </c>
      <c r="H49" s="20">
        <v>14</v>
      </c>
      <c r="I49" s="20">
        <v>16</v>
      </c>
      <c r="J49" s="21">
        <v>16.5</v>
      </c>
    </row>
    <row r="50" spans="1:10" hidden="1" x14ac:dyDescent="0.25">
      <c r="A50" s="8" t="s">
        <v>21</v>
      </c>
      <c r="B50" s="9">
        <f ca="1">FORECAST(
            $B$27,
            OFFSET($B$42:$B$47,MATCH($B$27,$A$42:$A$47,1)-1,0,2),
            OFFSET($A$42:$A$47,MATCH($B$27,$A$42:$A$47,1)-1,0,2)
        )</f>
        <v>3.1373380913771189</v>
      </c>
      <c r="C50" s="9">
        <f ca="1">FORECAST(
            $B$27,
            OFFSET($C$42:$C$47,MATCH($B$27,$A$42:$A$47,1)-1,0,2),
            OFFSET($A$42:$A$47,MATCH($B$27,$A$42:$A$47,1)-1,0,2)
        )</f>
        <v>1.9675325610780592</v>
      </c>
      <c r="D50" s="9">
        <f ca="1">FORECAST(
            $B$27,
            OFFSET($D$42:$D$47,MATCH($B$27,$A$42:$A$47,1)-1,0,2),
            OFFSET($A$42:$A$47,MATCH($B$27,$A$42:$A$47,1)-1,0,2)
        )</f>
        <v>1.504809062899445</v>
      </c>
      <c r="E50" s="9">
        <f ca="1">FORECAST(
            $B$27,
            OFFSET($E$42:$E$47,MATCH($B$27,$A$42:$A$47,1)-1,0,2),
            OFFSET($A$42:$A$47,MATCH($B$27,$A$42:$A$47,1)-1,0,2)
        )</f>
        <v>1.2074790515373852</v>
      </c>
      <c r="F50" s="9">
        <f ca="1">FORECAST(
            $B$27,
            OFFSET($F$42:$F$47,MATCH($B$27,$A$42:$A$47,1)-1,0,2),
            OFFSET($A$42:$A$47,MATCH($B$27,$A$42:$A$47,1)-1,0,2)
        )</f>
        <v>0.94348937630065266</v>
      </c>
      <c r="G50" s="9">
        <f ca="1">FORECAST(
            $B$27,
            OFFSET($G$42:$G$47,MATCH($B$27,$A$42:$A$47,1)-1,0,2),
            OFFSET($A$42:$A$47,MATCH($B$27,$A$42:$A$47,1)-1,0,2)
        )</f>
        <v>0.88160302563384552</v>
      </c>
      <c r="H50" s="9">
        <f ca="1">FORECAST(
            $B$27,
            OFFSET($H$42:$H$47,MATCH($B$27,$A$42:$A$47,1)-1,0,2),
            OFFSET($A$42:$A$47,MATCH($B$27,$A$42:$A$47,1)-1,0,2)
        )</f>
        <v>0.67225459345907956</v>
      </c>
      <c r="I50" s="9">
        <f ca="1">FORECAST(
            $B$27,
            OFFSET($I$42:$I$47,MATCH($B$27,$A$42:$A$47,1)-1,0,2),
            OFFSET($A$42:$A$47,MATCH($B$27,$A$42:$A$47,1)-1,0,2)
        )</f>
        <v>0.48121272486455824</v>
      </c>
      <c r="J50" s="10">
        <f ca="1">FORECAST(
            $B$27,
            OFFSET($J$42:$J$47,MATCH($B$27,$A$42:$A$47,1)-1,0,2),
            OFFSET($A$42:$A$47,MATCH($B$27,$A$42:$A$47,1)-1,0,2)
        )</f>
        <v>0.44569526590107644</v>
      </c>
    </row>
    <row r="51" spans="1:10" hidden="1" x14ac:dyDescent="0.25"/>
    <row r="52" spans="1:10" hidden="1" x14ac:dyDescent="0.25"/>
    <row r="53" spans="1:10" ht="28.9" customHeight="1" x14ac:dyDescent="0.5">
      <c r="A53" s="1" t="s">
        <v>22</v>
      </c>
    </row>
    <row r="54" spans="1:10" x14ac:dyDescent="0.25">
      <c r="A54" s="40" t="s">
        <v>19</v>
      </c>
      <c r="B54" s="41">
        <v>8</v>
      </c>
      <c r="C54" s="41">
        <v>10</v>
      </c>
      <c r="D54" s="41">
        <v>12</v>
      </c>
      <c r="E54" s="41">
        <v>14</v>
      </c>
      <c r="F54" s="42">
        <v>16</v>
      </c>
    </row>
    <row r="55" spans="1:10" x14ac:dyDescent="0.25">
      <c r="A55" s="37" t="s">
        <v>21</v>
      </c>
      <c r="B55" s="38">
        <f ca="1">$C$50</f>
        <v>1.9675325610780592</v>
      </c>
      <c r="C55" s="38">
        <f ca="1">$E$50</f>
        <v>1.2074790515373852</v>
      </c>
      <c r="D55" s="38">
        <f ca="1">$G$50</f>
        <v>0.88160302563384552</v>
      </c>
      <c r="E55" s="38">
        <f ca="1">$H$50</f>
        <v>0.67225459345907956</v>
      </c>
      <c r="F55" s="39">
        <f ca="1">$I$50</f>
        <v>0.48121272486455824</v>
      </c>
    </row>
    <row r="57" spans="1:10" ht="28.9" customHeight="1" x14ac:dyDescent="0.5">
      <c r="A57" s="1" t="s">
        <v>23</v>
      </c>
    </row>
    <row r="58" spans="1:10" x14ac:dyDescent="0.25">
      <c r="A58" s="40" t="s">
        <v>19</v>
      </c>
      <c r="B58" s="41">
        <v>6.5</v>
      </c>
      <c r="C58" s="41">
        <v>9</v>
      </c>
      <c r="D58" s="41">
        <v>11.5</v>
      </c>
      <c r="E58" s="41">
        <v>14</v>
      </c>
      <c r="F58" s="42">
        <v>16.5</v>
      </c>
    </row>
    <row r="59" spans="1:10" x14ac:dyDescent="0.25">
      <c r="A59" s="37" t="s">
        <v>21</v>
      </c>
      <c r="B59" s="38">
        <f ca="1">$B$50</f>
        <v>3.1373380913771189</v>
      </c>
      <c r="C59" s="38">
        <f ca="1">$D$50</f>
        <v>1.504809062899445</v>
      </c>
      <c r="D59" s="38">
        <f ca="1">$F$50</f>
        <v>0.94348937630065266</v>
      </c>
      <c r="E59" s="38">
        <f ca="1">$H$50</f>
        <v>0.67225459345907956</v>
      </c>
      <c r="F59" s="39">
        <f ca="1">$J$50</f>
        <v>0.44569526590107644</v>
      </c>
    </row>
    <row r="61" spans="1:10" ht="28.9" customHeight="1" x14ac:dyDescent="0.5">
      <c r="A61" s="1" t="s">
        <v>24</v>
      </c>
    </row>
    <row r="62" spans="1:10" x14ac:dyDescent="0.25">
      <c r="A62" s="24" t="s">
        <v>40</v>
      </c>
      <c r="B62" s="27">
        <f>_xlfn.FORECAST.LINEAR($B$76,   INDEX($B$80:$I$80,MATCH($B$76,$B$78:$I$78,1)):INDEX($B$80:$I$80,MATCH($B$76,$B$78:$I$78,1)+1),   INDEX($B$78:$I$78,MATCH($B$76,$B$78:$I$78,1)):INDEX($B$78:$I$78,MATCH($B$76,$B$78:$I$78,1)+1))</f>
        <v>5783.1100220461985</v>
      </c>
    </row>
    <row r="64" spans="1:10" ht="31.5" hidden="1" x14ac:dyDescent="0.5">
      <c r="A64" s="1" t="s">
        <v>25</v>
      </c>
    </row>
    <row r="65" spans="1:9" hidden="1" x14ac:dyDescent="0.25">
      <c r="A65" t="s">
        <v>26</v>
      </c>
      <c r="B65">
        <v>14.7</v>
      </c>
    </row>
    <row r="66" spans="1:9" hidden="1" x14ac:dyDescent="0.25">
      <c r="A66" t="s">
        <v>27</v>
      </c>
      <c r="B66">
        <v>9.0079999999999991</v>
      </c>
    </row>
    <row r="67" spans="1:9" hidden="1" x14ac:dyDescent="0.25">
      <c r="A67" t="s">
        <v>28</v>
      </c>
      <c r="B67">
        <f>($B$28/100) * $B$66 + ((100-$B$28)/100) * $B$65</f>
        <v>14.130800000000001</v>
      </c>
    </row>
    <row r="68" spans="1:9" hidden="1" x14ac:dyDescent="0.25">
      <c r="A68" t="s">
        <v>29</v>
      </c>
      <c r="B68">
        <v>0.73</v>
      </c>
    </row>
    <row r="69" spans="1:9" hidden="1" x14ac:dyDescent="0.25">
      <c r="A69" t="s">
        <v>30</v>
      </c>
      <c r="B69">
        <v>0.79</v>
      </c>
    </row>
    <row r="70" spans="1:9" hidden="1" x14ac:dyDescent="0.25">
      <c r="A70" t="s">
        <v>31</v>
      </c>
      <c r="B70">
        <f>($B$28/100) * $B$69 + ((100-$B$28)/100) * $B$68</f>
        <v>0.73599999999999999</v>
      </c>
    </row>
    <row r="71" spans="1:9" hidden="1" x14ac:dyDescent="0.25">
      <c r="A71" t="s">
        <v>32</v>
      </c>
      <c r="B71">
        <v>6.8947599999999998</v>
      </c>
    </row>
    <row r="72" spans="1:9" hidden="1" x14ac:dyDescent="0.25">
      <c r="A72" t="s">
        <v>33</v>
      </c>
      <c r="B72">
        <v>60000000</v>
      </c>
    </row>
    <row r="73" spans="1:9" hidden="1" x14ac:dyDescent="0.25">
      <c r="A73" t="s">
        <v>34</v>
      </c>
      <c r="B73">
        <v>1</v>
      </c>
    </row>
    <row r="74" spans="1:9" hidden="1" x14ac:dyDescent="0.25">
      <c r="A74" t="s">
        <v>35</v>
      </c>
      <c r="B74">
        <f>$B$73/ ($B$67 + 1)</f>
        <v>6.6090358738467234E-2</v>
      </c>
    </row>
    <row r="75" spans="1:9" hidden="1" x14ac:dyDescent="0.25">
      <c r="A75" t="s">
        <v>36</v>
      </c>
      <c r="B75">
        <f>$B$74 / 2</f>
        <v>3.3045179369233617E-2</v>
      </c>
    </row>
    <row r="76" spans="1:9" hidden="1" x14ac:dyDescent="0.25">
      <c r="A76" t="s">
        <v>37</v>
      </c>
      <c r="B76">
        <f>$B$27 * 6.89476</f>
        <v>299.92205999999999</v>
      </c>
    </row>
    <row r="77" spans="1:9" hidden="1" x14ac:dyDescent="0.25">
      <c r="A77" s="43"/>
      <c r="B77" s="44" t="s">
        <v>37</v>
      </c>
      <c r="C77" s="44"/>
      <c r="D77" s="44"/>
      <c r="E77" s="44"/>
      <c r="F77" s="44"/>
      <c r="G77" s="44"/>
      <c r="H77" s="44"/>
      <c r="I77" s="45"/>
    </row>
    <row r="78" spans="1:9" hidden="1" x14ac:dyDescent="0.25">
      <c r="A78" s="46"/>
      <c r="B78" s="47">
        <v>199</v>
      </c>
      <c r="C78" s="47">
        <v>200</v>
      </c>
      <c r="D78" s="47">
        <v>300</v>
      </c>
      <c r="E78" s="47">
        <v>400</v>
      </c>
      <c r="F78" s="47">
        <v>500</v>
      </c>
      <c r="G78" s="47">
        <v>600</v>
      </c>
      <c r="H78" s="47">
        <v>700</v>
      </c>
      <c r="I78" s="48">
        <v>701</v>
      </c>
    </row>
    <row r="79" spans="1:9" hidden="1" x14ac:dyDescent="0.25">
      <c r="A79" s="5" t="s">
        <v>38</v>
      </c>
      <c r="B79" s="49">
        <v>383.6</v>
      </c>
      <c r="C79" s="49">
        <v>383.6</v>
      </c>
      <c r="D79" s="49">
        <v>465.9</v>
      </c>
      <c r="E79" s="49">
        <v>537.70000000000005</v>
      </c>
      <c r="F79" s="49">
        <v>599.6</v>
      </c>
      <c r="G79" s="49">
        <v>655.4</v>
      </c>
      <c r="H79" s="49">
        <v>707.91290895608529</v>
      </c>
      <c r="I79" s="50">
        <v>707.91290895608529</v>
      </c>
    </row>
    <row r="80" spans="1:9" hidden="1" x14ac:dyDescent="0.25">
      <c r="A80" s="8" t="s">
        <v>39</v>
      </c>
      <c r="B80" s="22">
        <f>$B$75 / 383.6 / $B$70*$B$72</f>
        <v>7022.6811576045056</v>
      </c>
      <c r="C80" s="22">
        <f>$B$75 / 383.6 / $B$70*$B$72</f>
        <v>7022.6811576045056</v>
      </c>
      <c r="D80" s="22">
        <f>$B$75 / 465.9 / $B$70*$B$72</f>
        <v>5782.1431467205157</v>
      </c>
      <c r="E80" s="22">
        <f>$B$75 / 537.7 / $B$70*$B$72</f>
        <v>5010.0436898960161</v>
      </c>
      <c r="F80" s="22">
        <f>$B$75 / 599.6 / $B$70*$B$72</f>
        <v>4492.829373010487</v>
      </c>
      <c r="G80" s="22">
        <f>$B$75 / 655.4 / $B$70*$B$72</f>
        <v>4110.3150626443221</v>
      </c>
      <c r="H80" s="22">
        <f>$B$75 / 707.912908956085 / $B$70*$B$72</f>
        <v>3805.4123013939884</v>
      </c>
      <c r="I80" s="23">
        <f>$B$75 / 707.912908956085 / $B$70*$B$72</f>
        <v>3805.4123013939884</v>
      </c>
    </row>
    <row r="81" hidden="1" x14ac:dyDescent="0.25"/>
  </sheetData>
  <sheetProtection algorithmName="SHA-512" hashValue="cUSdnYsxC+EtOfGyn3RQQp/QAJNlN8d8X3y3oEpOnA2nAR/RJT/+mFKmRjdbTGiDWmx7JA2tdNLUq5eaEm4jxw==" saltValue="06WycE7dXZVGxCPre1ql0g==" spinCount="100000" sheet="1" objects="1" scenarios="1"/>
  <protectedRanges>
    <protectedRange sqref="B27:B28" name="Range1"/>
  </protectedRanges>
  <conditionalFormatting sqref="A27:H27">
    <cfRule type="expression" dxfId="1" priority="1">
      <formula>NOT(AND($B$27&gt;=29, $B$27&lt;=101.5))</formula>
    </cfRule>
  </conditionalFormatting>
  <conditionalFormatting sqref="A28:H28">
    <cfRule type="expression" dxfId="0" priority="2">
      <formula>NOT(AND($B$28&gt;=0, $B$28&lt;=100))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Subaru COBB Accessport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2022-05-18T03:52:48Z</dcterms:created>
  <dcterms:modified xsi:type="dcterms:W3CDTF">2022-05-23T00:02:29Z</dcterms:modified>
</cp:coreProperties>
</file>