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Tuning Data Locked\HP640M\"/>
    </mc:Choice>
  </mc:AlternateContent>
  <xr:revisionPtr revIDLastSave="0" documentId="8_{DE77A032-A09F-441A-B5A2-F543F059F2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3" i="8" l="1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E58" i="8"/>
  <c r="C58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E74" i="7"/>
  <c r="C74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E74" i="6"/>
  <c r="C74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E57" i="4"/>
  <c r="C57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</calcChain>
</file>

<file path=xl/sharedStrings.xml><?xml version="1.0" encoding="utf-8"?>
<sst xmlns="http://schemas.openxmlformats.org/spreadsheetml/2006/main" count="302" uniqueCount="45">
  <si>
    <t>P01, 0411, P59</t>
  </si>
  <si>
    <t>Injector Type:</t>
  </si>
  <si>
    <t>HP640M</t>
  </si>
  <si>
    <t>Matched Set:</t>
  </si>
  <si>
    <t>None selected</t>
  </si>
  <si>
    <t>Report Date:</t>
  </si>
  <si>
    <t>25/01/2023</t>
  </si>
  <si>
    <t>(c) Injectors Online Pty Ltd ATF Injectors Online Trust 2020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</si>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</sst>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F1CCE4-F97C-4AE8-8200-D56EAB738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6590F8-D617-4DCC-86C8-4A156F82A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E0D147-C51C-410D-B925-8A9F902B1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A7023E-1B96-4971-BE5F-C377D62B7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F1D330-93DF-47A6-B67A-94174F299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8A0BB4-32FC-4EF1-B127-5961E79A0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D16552-6DF4-45C2-90DC-58CB0A0B7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B35EAE-2657-4F82-A4BE-DCBCE8F1E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C161"/>
  <sheetViews>
    <sheetView tabSelected="1" workbookViewId="0">
      <selection activeCell="F9" sqref="F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0.42999999999999988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0</v>
      </c>
      <c r="B42" s="6">
        <v>68.192472530379732</v>
      </c>
      <c r="C42" s="6">
        <f>68.1924725303797 * $B$37 / 100</f>
        <v>68.192472530379703</v>
      </c>
      <c r="D42" s="6">
        <v>8.5921000000000003</v>
      </c>
      <c r="E42" s="7">
        <f>8.5921 * $B$37 / 100</f>
        <v>8.5921000000000003</v>
      </c>
    </row>
    <row r="43" spans="1:5" x14ac:dyDescent="0.25">
      <c r="A43" s="5">
        <v>5</v>
      </c>
      <c r="B43" s="6">
        <v>68.595138362228624</v>
      </c>
      <c r="C43" s="6">
        <f>68.5951383622286 * $B$37 / 100</f>
        <v>68.595138362228596</v>
      </c>
      <c r="D43" s="6">
        <v>8.6428350000000016</v>
      </c>
      <c r="E43" s="7">
        <f>8.642835 * $B$37 / 100</f>
        <v>8.6428349999999998</v>
      </c>
    </row>
    <row r="44" spans="1:5" x14ac:dyDescent="0.25">
      <c r="A44" s="5">
        <v>10</v>
      </c>
      <c r="B44" s="6">
        <v>68.997804194077503</v>
      </c>
      <c r="C44" s="6">
        <f>68.9978041940775 * $B$37 / 100</f>
        <v>68.997804194077503</v>
      </c>
      <c r="D44" s="6">
        <v>8.6935700000000011</v>
      </c>
      <c r="E44" s="7">
        <f>8.69357 * $B$37 / 100</f>
        <v>8.6935699999999994</v>
      </c>
    </row>
    <row r="45" spans="1:5" x14ac:dyDescent="0.25">
      <c r="A45" s="5">
        <v>15</v>
      </c>
      <c r="B45" s="6">
        <v>69.400470025926396</v>
      </c>
      <c r="C45" s="6">
        <f>69.4004700259264 * $B$37 / 100</f>
        <v>69.400470025926396</v>
      </c>
      <c r="D45" s="6">
        <v>8.7443050000000007</v>
      </c>
      <c r="E45" s="7">
        <f>8.744305 * $B$37 / 100</f>
        <v>8.7443050000000007</v>
      </c>
    </row>
    <row r="46" spans="1:5" x14ac:dyDescent="0.25">
      <c r="A46" s="5">
        <v>20</v>
      </c>
      <c r="B46" s="6">
        <v>69.803135857775274</v>
      </c>
      <c r="C46" s="6">
        <f>69.8031358577752 * $B$37 / 100</f>
        <v>69.803135857775203</v>
      </c>
      <c r="D46" s="6">
        <v>8.7950400000000002</v>
      </c>
      <c r="E46" s="7">
        <f>8.79504 * $B$37 / 100</f>
        <v>8.7950400000000002</v>
      </c>
    </row>
    <row r="47" spans="1:5" x14ac:dyDescent="0.25">
      <c r="A47" s="5">
        <v>25</v>
      </c>
      <c r="B47" s="6">
        <v>70.205801689624167</v>
      </c>
      <c r="C47" s="6">
        <f>70.2058016896241 * $B$37 / 100</f>
        <v>70.205801689624096</v>
      </c>
      <c r="D47" s="6">
        <v>8.8457750000000015</v>
      </c>
      <c r="E47" s="7">
        <f>8.845775 * $B$37 / 100</f>
        <v>8.8457749999999997</v>
      </c>
    </row>
    <row r="48" spans="1:5" x14ac:dyDescent="0.25">
      <c r="A48" s="5">
        <v>30</v>
      </c>
      <c r="B48" s="6">
        <v>70.608467521473045</v>
      </c>
      <c r="C48" s="6">
        <f>70.608467521473 * $B$37 / 100</f>
        <v>70.608467521473003</v>
      </c>
      <c r="D48" s="6">
        <v>8.896510000000001</v>
      </c>
      <c r="E48" s="7">
        <f>8.89651 * $B$37 / 100</f>
        <v>8.8965099999999993</v>
      </c>
    </row>
    <row r="49" spans="1:18" x14ac:dyDescent="0.25">
      <c r="A49" s="5">
        <v>35</v>
      </c>
      <c r="B49" s="6">
        <v>71.011133353321938</v>
      </c>
      <c r="C49" s="6">
        <f>71.0111333533219 * $B$37 / 100</f>
        <v>71.011133353321895</v>
      </c>
      <c r="D49" s="6">
        <v>8.9472450000000006</v>
      </c>
      <c r="E49" s="7">
        <f>8.947245 * $B$37 / 100</f>
        <v>8.9472450000000006</v>
      </c>
    </row>
    <row r="50" spans="1:18" x14ac:dyDescent="0.25">
      <c r="A50" s="5">
        <v>40</v>
      </c>
      <c r="B50" s="6">
        <v>71.413799185170816</v>
      </c>
      <c r="C50" s="6">
        <f>71.4137991851708 * $B$37 / 100</f>
        <v>71.413799185170802</v>
      </c>
      <c r="D50" s="6">
        <v>8.9979800000000001</v>
      </c>
      <c r="E50" s="7">
        <f>8.99798 * $B$37 / 100</f>
        <v>8.9979800000000001</v>
      </c>
    </row>
    <row r="51" spans="1:18" x14ac:dyDescent="0.25">
      <c r="A51" s="5">
        <v>45</v>
      </c>
      <c r="B51" s="6">
        <v>71.816465017019709</v>
      </c>
      <c r="C51" s="6">
        <f>71.8164650170197 * $B$37 / 100</f>
        <v>71.816465017019695</v>
      </c>
      <c r="D51" s="6">
        <v>9.0487150000000014</v>
      </c>
      <c r="E51" s="7">
        <f>9.048715 * $B$37 / 100</f>
        <v>9.0487149999999996</v>
      </c>
    </row>
    <row r="52" spans="1:18" x14ac:dyDescent="0.25">
      <c r="A52" s="5">
        <v>50</v>
      </c>
      <c r="B52" s="6">
        <v>72.219130848868588</v>
      </c>
      <c r="C52" s="6">
        <f>72.2191308488685 * $B$37 / 100</f>
        <v>72.219130848868502</v>
      </c>
      <c r="D52" s="6">
        <v>9.0994500000000009</v>
      </c>
      <c r="E52" s="7">
        <f>9.09945 * $B$37 / 100</f>
        <v>9.0994499999999992</v>
      </c>
    </row>
    <row r="53" spans="1:18" x14ac:dyDescent="0.25">
      <c r="A53" s="5">
        <v>55</v>
      </c>
      <c r="B53" s="6">
        <v>72.62179668071748</v>
      </c>
      <c r="C53" s="6">
        <f>72.6217966807174 * $B$37 / 100</f>
        <v>72.621796680717395</v>
      </c>
      <c r="D53" s="6">
        <v>9.1501850000000005</v>
      </c>
      <c r="E53" s="7">
        <f>9.150185 * $B$37 / 100</f>
        <v>9.1501850000000005</v>
      </c>
    </row>
    <row r="54" spans="1:18" x14ac:dyDescent="0.25">
      <c r="A54" s="5">
        <v>60</v>
      </c>
      <c r="B54" s="6">
        <v>73.024462512566373</v>
      </c>
      <c r="C54" s="6">
        <f>73.0244625125663 * $B$37 / 100</f>
        <v>73.024462512566302</v>
      </c>
      <c r="D54" s="6">
        <v>9.2009200000000018</v>
      </c>
      <c r="E54" s="7">
        <f>9.20092 * $B$37 / 100</f>
        <v>9.20092</v>
      </c>
    </row>
    <row r="55" spans="1:18" x14ac:dyDescent="0.25">
      <c r="A55" s="5">
        <v>65</v>
      </c>
      <c r="B55" s="6">
        <v>73.427128344415252</v>
      </c>
      <c r="C55" s="6">
        <f>73.4271283444152 * $B$37 / 100</f>
        <v>73.427128344415195</v>
      </c>
      <c r="D55" s="6">
        <v>9.2516549999999995</v>
      </c>
      <c r="E55" s="7">
        <f>9.251655 * $B$37 / 100</f>
        <v>9.2516549999999995</v>
      </c>
    </row>
    <row r="56" spans="1:18" x14ac:dyDescent="0.25">
      <c r="A56" s="5">
        <v>70</v>
      </c>
      <c r="B56" s="6">
        <v>73.829794176264144</v>
      </c>
      <c r="C56" s="6">
        <f>73.8297941762641 * $B$37 / 100</f>
        <v>73.829794176264102</v>
      </c>
      <c r="D56" s="6">
        <v>9.3023900000000026</v>
      </c>
      <c r="E56" s="7">
        <f>9.30239 * $B$37 / 100</f>
        <v>9.3023900000000008</v>
      </c>
    </row>
    <row r="57" spans="1:18" x14ac:dyDescent="0.25">
      <c r="A57" s="5">
        <v>75</v>
      </c>
      <c r="B57" s="6">
        <v>74.232460008113023</v>
      </c>
      <c r="C57" s="6">
        <f>74.232460008113 * $B$37 / 100</f>
        <v>74.232460008112994</v>
      </c>
      <c r="D57" s="6">
        <v>9.3531250000000004</v>
      </c>
      <c r="E57" s="7">
        <f>9.353125 * $B$37 / 100</f>
        <v>9.3531250000000004</v>
      </c>
    </row>
    <row r="58" spans="1:18" x14ac:dyDescent="0.25">
      <c r="A58" s="8">
        <v>80</v>
      </c>
      <c r="B58" s="9">
        <v>74.635125839961916</v>
      </c>
      <c r="C58" s="9">
        <f>74.6351258399619 * $B$37 / 100</f>
        <v>74.635125839961901</v>
      </c>
      <c r="D58" s="9">
        <v>9.4038599999999999</v>
      </c>
      <c r="E58" s="10">
        <f>9.40386 * $B$37 / 100</f>
        <v>9.4038599999999999</v>
      </c>
    </row>
    <row r="60" spans="1:18" ht="28.9" customHeight="1" x14ac:dyDescent="0.5">
      <c r="A60" s="1" t="s">
        <v>25</v>
      </c>
      <c r="B60" s="1"/>
    </row>
    <row r="61" spans="1:18" x14ac:dyDescent="0.25">
      <c r="A61" s="21" t="s">
        <v>26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27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28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29" ht="28.9" customHeight="1" x14ac:dyDescent="0.5">
      <c r="A65" s="1" t="s">
        <v>29</v>
      </c>
      <c r="B65" s="1"/>
    </row>
    <row r="66" spans="1:29" x14ac:dyDescent="0.25">
      <c r="A66" s="24" t="s">
        <v>30</v>
      </c>
      <c r="B66" s="25" t="s">
        <v>31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6"/>
    </row>
    <row r="67" spans="1:29" x14ac:dyDescent="0.25">
      <c r="A67" s="27" t="s">
        <v>20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9">
        <v>18</v>
      </c>
    </row>
    <row r="68" spans="1:29" x14ac:dyDescent="0.25">
      <c r="A68" s="30">
        <v>0</v>
      </c>
      <c r="B68" s="31">
        <v>6.8466848610451319</v>
      </c>
      <c r="C68" s="31">
        <v>6.0942703666997202</v>
      </c>
      <c r="D68" s="31">
        <v>5.4074646798539394</v>
      </c>
      <c r="E68" s="31">
        <v>4.7836575616743247</v>
      </c>
      <c r="F68" s="31">
        <v>4.2201574844624332</v>
      </c>
      <c r="G68" s="31">
        <v>3.714191631654836</v>
      </c>
      <c r="H68" s="31">
        <v>3.2629058978231389</v>
      </c>
      <c r="I68" s="31">
        <v>2.863364888673948</v>
      </c>
      <c r="J68" s="31">
        <v>2.5125519210489058</v>
      </c>
      <c r="K68" s="31">
        <v>2.2073690229246652</v>
      </c>
      <c r="L68" s="31">
        <v>1.944636933412897</v>
      </c>
      <c r="M68" s="31">
        <v>1.7210951027603021</v>
      </c>
      <c r="N68" s="31">
        <v>1.5334016923485869</v>
      </c>
      <c r="O68" s="31">
        <v>1.3781335746944929</v>
      </c>
      <c r="P68" s="31">
        <v>1.2517863334497741</v>
      </c>
      <c r="Q68" s="31">
        <v>1.150774263401199</v>
      </c>
      <c r="R68" s="31">
        <v>1.0714303704705661</v>
      </c>
      <c r="S68" s="31">
        <v>1.0100063717146821</v>
      </c>
      <c r="T68" s="31">
        <v>0.96267269532538657</v>
      </c>
      <c r="U68" s="31">
        <v>0.92551848062952535</v>
      </c>
      <c r="V68" s="31">
        <v>0.89455157808898156</v>
      </c>
      <c r="W68" s="31">
        <v>0.86569854930063506</v>
      </c>
      <c r="X68" s="31">
        <v>0.83480466699640843</v>
      </c>
      <c r="Y68" s="31">
        <v>0.79763391504322634</v>
      </c>
      <c r="Z68" s="31">
        <v>0.74986898844304062</v>
      </c>
      <c r="AA68" s="31">
        <v>0.68711129333282628</v>
      </c>
      <c r="AB68" s="31">
        <v>0.60488094698457151</v>
      </c>
      <c r="AC68" s="32">
        <v>0.49861677780529079</v>
      </c>
    </row>
    <row r="69" spans="1:29" x14ac:dyDescent="0.25">
      <c r="A69" s="30">
        <v>5</v>
      </c>
      <c r="B69" s="31">
        <v>6.8938743213400304</v>
      </c>
      <c r="C69" s="31">
        <v>6.1357310455252589</v>
      </c>
      <c r="D69" s="31">
        <v>5.443674300426701</v>
      </c>
      <c r="E69" s="31">
        <v>4.8150738546132699</v>
      </c>
      <c r="F69" s="31">
        <v>4.2472181877888886</v>
      </c>
      <c r="G69" s="31">
        <v>3.7373144907925031</v>
      </c>
      <c r="H69" s="31">
        <v>3.2824886655980761</v>
      </c>
      <c r="I69" s="31">
        <v>2.879785325314594</v>
      </c>
      <c r="J69" s="31">
        <v>2.5261677941860601</v>
      </c>
      <c r="K69" s="31">
        <v>2.2185181075915019</v>
      </c>
      <c r="L69" s="31">
        <v>1.9536370120449611</v>
      </c>
      <c r="M69" s="31">
        <v>1.7282439651955031</v>
      </c>
      <c r="N69" s="31">
        <v>1.538977135827208</v>
      </c>
      <c r="O69" s="31">
        <v>1.3823934038591861</v>
      </c>
      <c r="P69" s="31">
        <v>1.254968360345553</v>
      </c>
      <c r="Q69" s="31">
        <v>1.153096307475457</v>
      </c>
      <c r="R69" s="31">
        <v>1.07309025857306</v>
      </c>
      <c r="S69" s="31">
        <v>1.0111819380975431</v>
      </c>
      <c r="T69" s="31">
        <v>0.96352178164311109</v>
      </c>
      <c r="U69" s="31">
        <v>0.9261789359389776</v>
      </c>
      <c r="V69" s="31">
        <v>0.89514125884939555</v>
      </c>
      <c r="W69" s="31">
        <v>0.86631531937361705</v>
      </c>
      <c r="X69" s="31">
        <v>0.83552639764593462</v>
      </c>
      <c r="Y69" s="31">
        <v>0.79851848493563427</v>
      </c>
      <c r="Z69" s="31">
        <v>0.75095428364705119</v>
      </c>
      <c r="AA69" s="31">
        <v>0.68841520731951733</v>
      </c>
      <c r="AB69" s="31">
        <v>0.60640138062739724</v>
      </c>
      <c r="AC69" s="32">
        <v>0.50033163938006986</v>
      </c>
    </row>
    <row r="70" spans="1:29" x14ac:dyDescent="0.25">
      <c r="A70" s="30">
        <v>10</v>
      </c>
      <c r="B70" s="31">
        <v>6.9416715205062616</v>
      </c>
      <c r="C70" s="31">
        <v>6.1777452590182156</v>
      </c>
      <c r="D70" s="31">
        <v>5.4803858261287512</v>
      </c>
      <c r="E70" s="31">
        <v>4.8469429978091432</v>
      </c>
      <c r="F70" s="31">
        <v>4.2746852611656987</v>
      </c>
      <c r="G70" s="31">
        <v>3.760799814439717</v>
      </c>
      <c r="H70" s="31">
        <v>3.3023925670075398</v>
      </c>
      <c r="I70" s="31">
        <v>2.896488139380522</v>
      </c>
      <c r="J70" s="31">
        <v>2.5400298632050342</v>
      </c>
      <c r="K70" s="31">
        <v>2.2298797812624751</v>
      </c>
      <c r="L70" s="31">
        <v>1.9628186474692531</v>
      </c>
      <c r="M70" s="31">
        <v>1.735545926876807</v>
      </c>
      <c r="N70" s="31">
        <v>1.5446797956715821</v>
      </c>
      <c r="O70" s="31">
        <v>1.386757141175057</v>
      </c>
      <c r="P70" s="31">
        <v>1.258233561843725</v>
      </c>
      <c r="Q70" s="31">
        <v>1.1554833672690901</v>
      </c>
      <c r="R70" s="31">
        <v>1.074799578177698</v>
      </c>
      <c r="S70" s="31">
        <v>1.0123939264310871</v>
      </c>
      <c r="T70" s="31">
        <v>0.96439685502583883</v>
      </c>
      <c r="U70" s="31">
        <v>0.92685751809353734</v>
      </c>
      <c r="V70" s="31">
        <v>0.89574378090079565</v>
      </c>
      <c r="W70" s="31">
        <v>0.8669422198492468</v>
      </c>
      <c r="X70" s="31">
        <v>0.83625812247553721</v>
      </c>
      <c r="Y70" s="31">
        <v>0.79941548745135016</v>
      </c>
      <c r="Z70" s="31">
        <v>0.75205702458336032</v>
      </c>
      <c r="AA70" s="31">
        <v>0.68974415481327811</v>
      </c>
      <c r="AB70" s="31">
        <v>0.60795701021784443</v>
      </c>
      <c r="AC70" s="32">
        <v>0.50209443400880183</v>
      </c>
    </row>
    <row r="71" spans="1:29" x14ac:dyDescent="0.25">
      <c r="A71" s="30">
        <v>15</v>
      </c>
      <c r="B71" s="31">
        <v>6.9900720776557952</v>
      </c>
      <c r="C71" s="31">
        <v>6.2203089421341806</v>
      </c>
      <c r="D71" s="31">
        <v>5.5175955077593004</v>
      </c>
      <c r="E71" s="31">
        <v>4.8792615579047931</v>
      </c>
      <c r="F71" s="31">
        <v>4.3025555870793273</v>
      </c>
      <c r="G71" s="31">
        <v>3.7846448009265812</v>
      </c>
      <c r="H71" s="31">
        <v>3.322615116225264</v>
      </c>
      <c r="I71" s="31">
        <v>2.913471160889094</v>
      </c>
      <c r="J71" s="31">
        <v>2.5541362739668179</v>
      </c>
      <c r="K71" s="31">
        <v>2.2414525056422012</v>
      </c>
      <c r="L71" s="31">
        <v>1.9721806172340199</v>
      </c>
      <c r="M71" s="31">
        <v>1.743000081196082</v>
      </c>
      <c r="N71" s="31">
        <v>1.550509081117206</v>
      </c>
      <c r="O71" s="31">
        <v>1.391224511721239</v>
      </c>
      <c r="P71" s="31">
        <v>1.2615819788670399</v>
      </c>
      <c r="Q71" s="31">
        <v>1.157935799548488</v>
      </c>
      <c r="R71" s="31">
        <v>1.0765590018944899</v>
      </c>
      <c r="S71" s="31">
        <v>1.0136433251689649</v>
      </c>
      <c r="T71" s="31">
        <v>0.96529921977085154</v>
      </c>
      <c r="U71" s="31">
        <v>0.92755584723410522</v>
      </c>
      <c r="V71" s="31">
        <v>0.8963610802277181</v>
      </c>
      <c r="W71" s="31">
        <v>0.86758150255568778</v>
      </c>
      <c r="X71" s="31">
        <v>0.83700240915702917</v>
      </c>
      <c r="Y71" s="31">
        <v>0.80032780610578591</v>
      </c>
      <c r="Z71" s="31">
        <v>0.75318041061101237</v>
      </c>
      <c r="AA71" s="31">
        <v>0.691101651016792</v>
      </c>
      <c r="AB71" s="31">
        <v>0.60955166680222483</v>
      </c>
      <c r="AC71" s="32">
        <v>0.50390930858143257</v>
      </c>
    </row>
    <row r="72" spans="1:29" x14ac:dyDescent="0.25">
      <c r="A72" s="30">
        <v>20</v>
      </c>
      <c r="B72" s="31">
        <v>7.0390715128518888</v>
      </c>
      <c r="C72" s="31">
        <v>6.2634179307800588</v>
      </c>
      <c r="D72" s="31">
        <v>5.55529949706888</v>
      </c>
      <c r="E72" s="31">
        <v>4.9120260024943718</v>
      </c>
      <c r="F72" s="31">
        <v>4.330825948967564</v>
      </c>
      <c r="G72" s="31">
        <v>3.8088465495345121</v>
      </c>
      <c r="H72" s="31">
        <v>3.343153728376286</v>
      </c>
      <c r="I72" s="31">
        <v>2.9307321208089809</v>
      </c>
      <c r="J72" s="31">
        <v>2.5684850732837088</v>
      </c>
      <c r="K72" s="31">
        <v>2.2532346433866048</v>
      </c>
      <c r="L72" s="31">
        <v>1.9817215998388169</v>
      </c>
      <c r="M72" s="31">
        <v>1.75060542249652</v>
      </c>
      <c r="N72" s="31">
        <v>1.5564643023508999</v>
      </c>
      <c r="O72" s="31">
        <v>1.395795141528178</v>
      </c>
      <c r="P72" s="31">
        <v>1.265013553289575</v>
      </c>
      <c r="Q72" s="31">
        <v>1.1604538620313529</v>
      </c>
      <c r="R72" s="31">
        <v>1.078369103284774</v>
      </c>
      <c r="S72" s="31">
        <v>1.014931023716128</v>
      </c>
      <c r="T72" s="31">
        <v>0.96623008112673348</v>
      </c>
      <c r="U72" s="31">
        <v>0.92827544445291243</v>
      </c>
      <c r="V72" s="31">
        <v>0.89699499376601144</v>
      </c>
      <c r="W72" s="31">
        <v>0.86823532027241623</v>
      </c>
      <c r="X72" s="31">
        <v>0.83776172631349599</v>
      </c>
      <c r="Y72" s="31">
        <v>0.80125822536567692</v>
      </c>
      <c r="Z72" s="31">
        <v>0.754327542040379</v>
      </c>
      <c r="AA72" s="31">
        <v>0.69249111208404235</v>
      </c>
      <c r="AB72" s="31">
        <v>0.61118908237815828</v>
      </c>
      <c r="AC72" s="32">
        <v>0.50578031093919584</v>
      </c>
    </row>
    <row r="73" spans="1:29" x14ac:dyDescent="0.25">
      <c r="A73" s="30">
        <v>25</v>
      </c>
      <c r="B73" s="31">
        <v>7.0886652471091232</v>
      </c>
      <c r="C73" s="31">
        <v>6.3070679618140453</v>
      </c>
      <c r="D73" s="31">
        <v>5.5934938467593174</v>
      </c>
      <c r="E73" s="31">
        <v>4.9452327001233334</v>
      </c>
      <c r="F73" s="31">
        <v>4.3594930312194959</v>
      </c>
      <c r="G73" s="31">
        <v>3.8334020604962191</v>
      </c>
      <c r="H73" s="31">
        <v>3.3640057195369542</v>
      </c>
      <c r="I73" s="31">
        <v>2.9482686510601548</v>
      </c>
      <c r="J73" s="31">
        <v>2.5830742089193079</v>
      </c>
      <c r="K73" s="31">
        <v>2.2652244581029159</v>
      </c>
      <c r="L73" s="31">
        <v>1.991440174734501</v>
      </c>
      <c r="M73" s="31">
        <v>1.7583608460726019</v>
      </c>
      <c r="N73" s="31">
        <v>1.5625446705107771</v>
      </c>
      <c r="O73" s="31">
        <v>1.4004685575776139</v>
      </c>
      <c r="P73" s="31">
        <v>1.268528127936708</v>
      </c>
      <c r="Q73" s="31">
        <v>1.1630377133866769</v>
      </c>
      <c r="R73" s="31">
        <v>1.0802303568611711</v>
      </c>
      <c r="S73" s="31">
        <v>1.0162578124288399</v>
      </c>
      <c r="T73" s="31">
        <v>0.96719054529337201</v>
      </c>
      <c r="U73" s="31">
        <v>0.92901773179345537</v>
      </c>
      <c r="V73" s="31">
        <v>0.89764725940281687</v>
      </c>
      <c r="W73" s="31">
        <v>0.86890572673019606</v>
      </c>
      <c r="X73" s="31">
        <v>0.83853844351934781</v>
      </c>
      <c r="Y73" s="31">
        <v>0.80220943064905326</v>
      </c>
      <c r="Z73" s="31">
        <v>0.75550142013310406</v>
      </c>
      <c r="AA73" s="31">
        <v>0.69391585512032505</v>
      </c>
      <c r="AB73" s="31">
        <v>0.61287288989455646</v>
      </c>
      <c r="AC73" s="32">
        <v>0.50771138987464315</v>
      </c>
    </row>
    <row r="74" spans="1:29" x14ac:dyDescent="0.25">
      <c r="A74" s="30">
        <v>30</v>
      </c>
      <c r="B74" s="31">
        <v>7.1388486023933782</v>
      </c>
      <c r="C74" s="31">
        <v>6.3512546730456476</v>
      </c>
      <c r="D74" s="31">
        <v>5.6321745104837522</v>
      </c>
      <c r="E74" s="31">
        <v>4.9788779202884497</v>
      </c>
      <c r="F74" s="31">
        <v>4.3885534191755147</v>
      </c>
      <c r="G74" s="31">
        <v>3.8583082349957292</v>
      </c>
      <c r="H74" s="31">
        <v>3.3851683067349132</v>
      </c>
      <c r="I74" s="31">
        <v>2.966078284513892</v>
      </c>
      <c r="J74" s="31">
        <v>2.5979015295885231</v>
      </c>
      <c r="K74" s="31">
        <v>2.2774201143496748</v>
      </c>
      <c r="L74" s="31">
        <v>2.001334822323237</v>
      </c>
      <c r="M74" s="31">
        <v>1.7662651481701239</v>
      </c>
      <c r="N74" s="31">
        <v>1.568749297686258</v>
      </c>
      <c r="O74" s="31">
        <v>1.405244187802595</v>
      </c>
      <c r="P74" s="31">
        <v>1.2721254465851071</v>
      </c>
      <c r="Q74" s="31">
        <v>1.165687413234779</v>
      </c>
      <c r="R74" s="31">
        <v>1.082143138087625</v>
      </c>
      <c r="S74" s="31">
        <v>1.0176243826146689</v>
      </c>
      <c r="T74" s="31">
        <v>0.96818161942196546</v>
      </c>
      <c r="U74" s="31">
        <v>0.92978403225056783</v>
      </c>
      <c r="V74" s="31">
        <v>0.89831951597658177</v>
      </c>
      <c r="W74" s="31">
        <v>0.86959467661111367</v>
      </c>
      <c r="X74" s="31">
        <v>0.83933483130028386</v>
      </c>
      <c r="Y74" s="31">
        <v>0.80318400832524972</v>
      </c>
      <c r="Z74" s="31">
        <v>0.75670494710216496</v>
      </c>
      <c r="AA74" s="31">
        <v>0.6953790981822261</v>
      </c>
      <c r="AB74" s="31">
        <v>0.61460662325163284</v>
      </c>
      <c r="AC74" s="32">
        <v>0.50970639513162996</v>
      </c>
    </row>
    <row r="75" spans="1:29" x14ac:dyDescent="0.25">
      <c r="A75" s="30">
        <v>35</v>
      </c>
      <c r="B75" s="31">
        <v>7.1896168016218294</v>
      </c>
      <c r="C75" s="31">
        <v>6.3959736032356762</v>
      </c>
      <c r="D75" s="31">
        <v>5.6713373428466181</v>
      </c>
      <c r="E75" s="31">
        <v>5.0129578334377856</v>
      </c>
      <c r="F75" s="31">
        <v>4.4180035991273154</v>
      </c>
      <c r="G75" s="31">
        <v>3.8835618751683629</v>
      </c>
      <c r="H75" s="31">
        <v>3.4066386079491222</v>
      </c>
      <c r="I75" s="31">
        <v>2.984158454992782</v>
      </c>
      <c r="J75" s="31">
        <v>2.612964784957569</v>
      </c>
      <c r="K75" s="31">
        <v>2.289819677636721</v>
      </c>
      <c r="L75" s="31">
        <v>2.0114039239585</v>
      </c>
      <c r="M75" s="31">
        <v>1.7743170259861849</v>
      </c>
      <c r="N75" s="31">
        <v>1.575077196918073</v>
      </c>
      <c r="O75" s="31">
        <v>1.410121361087487</v>
      </c>
      <c r="P75" s="31">
        <v>1.2758051539627691</v>
      </c>
      <c r="Q75" s="31">
        <v>1.168402922147274</v>
      </c>
      <c r="R75" s="31">
        <v>1.0841077233793761</v>
      </c>
      <c r="S75" s="31">
        <v>1.019031326532482</v>
      </c>
      <c r="T75" s="31">
        <v>0.96920421161500736</v>
      </c>
      <c r="U75" s="31">
        <v>0.93057556977038336</v>
      </c>
      <c r="V75" s="31">
        <v>0.89901330327707618</v>
      </c>
      <c r="W75" s="31">
        <v>0.8703040255485609</v>
      </c>
      <c r="X75" s="31">
        <v>0.84015306113333477</v>
      </c>
      <c r="Y75" s="31">
        <v>0.80418444571491132</v>
      </c>
      <c r="Z75" s="31">
        <v>0.75794092611183217</v>
      </c>
      <c r="AA75" s="31">
        <v>0.69688396027764743</v>
      </c>
      <c r="AB75" s="31">
        <v>0.61639371730094539</v>
      </c>
      <c r="AC75" s="32">
        <v>0.51176907740531152</v>
      </c>
    </row>
    <row r="76" spans="1:29" x14ac:dyDescent="0.25">
      <c r="A76" s="30">
        <v>40</v>
      </c>
      <c r="B76" s="31">
        <v>7.2409649686629747</v>
      </c>
      <c r="C76" s="31">
        <v>6.4412201920962566</v>
      </c>
      <c r="D76" s="31">
        <v>5.7109780994036718</v>
      </c>
      <c r="E76" s="31">
        <v>5.0474685109707202</v>
      </c>
      <c r="F76" s="31">
        <v>4.4478399583179096</v>
      </c>
      <c r="G76" s="31">
        <v>3.9091596841007652</v>
      </c>
      <c r="H76" s="31">
        <v>3.4284136421098448</v>
      </c>
      <c r="I76" s="31">
        <v>3.0025064972707138</v>
      </c>
      <c r="J76" s="31">
        <v>2.628261625643963</v>
      </c>
      <c r="K76" s="31">
        <v>2.3024211144252029</v>
      </c>
      <c r="L76" s="31">
        <v>2.021645761945063</v>
      </c>
      <c r="M76" s="31">
        <v>1.782515077669194</v>
      </c>
      <c r="N76" s="31">
        <v>1.581527282198258</v>
      </c>
      <c r="O76" s="31">
        <v>1.415099307267951</v>
      </c>
      <c r="P76" s="31">
        <v>1.279566795748982</v>
      </c>
      <c r="Q76" s="31">
        <v>1.171184101647073</v>
      </c>
      <c r="R76" s="31">
        <v>1.086124290102976</v>
      </c>
      <c r="S76" s="31">
        <v>1.020479137392458</v>
      </c>
      <c r="T76" s="31">
        <v>0.97025913092630456</v>
      </c>
      <c r="U76" s="31">
        <v>0.93139346925032807</v>
      </c>
      <c r="V76" s="31">
        <v>0.89973006204534978</v>
      </c>
      <c r="W76" s="31">
        <v>0.87103553012721724</v>
      </c>
      <c r="X76" s="31">
        <v>0.84099520544680317</v>
      </c>
      <c r="Y76" s="31">
        <v>0.8052131310899886</v>
      </c>
      <c r="Z76" s="31">
        <v>0.75921206127767804</v>
      </c>
      <c r="AA76" s="31">
        <v>0.69843346136580253</v>
      </c>
      <c r="AB76" s="31">
        <v>0.61823750784529996</v>
      </c>
      <c r="AC76" s="32">
        <v>0.51390308834214338</v>
      </c>
    </row>
    <row r="77" spans="1:29" x14ac:dyDescent="0.25">
      <c r="A77" s="30">
        <v>45</v>
      </c>
      <c r="B77" s="31">
        <v>7.292888128336604</v>
      </c>
      <c r="C77" s="31">
        <v>6.4869897802908048</v>
      </c>
      <c r="D77" s="31">
        <v>5.7510924366619633</v>
      </c>
      <c r="E77" s="31">
        <v>5.0824059252379374</v>
      </c>
      <c r="F77" s="31">
        <v>4.4780587849416049</v>
      </c>
      <c r="G77" s="31">
        <v>3.9350982658308702</v>
      </c>
      <c r="H77" s="31">
        <v>3.4504903290986522</v>
      </c>
      <c r="I77" s="31">
        <v>3.0211196470728852</v>
      </c>
      <c r="J77" s="31">
        <v>2.6437896032165349</v>
      </c>
      <c r="K77" s="31">
        <v>2.3152222921275798</v>
      </c>
      <c r="L77" s="31">
        <v>2.0320585195390151</v>
      </c>
      <c r="M77" s="31">
        <v>1.790857802318861</v>
      </c>
      <c r="N77" s="31">
        <v>1.5880983684701551</v>
      </c>
      <c r="O77" s="31">
        <v>1.420177157130956</v>
      </c>
      <c r="P77" s="31">
        <v>1.2834098185743421</v>
      </c>
      <c r="Q77" s="31">
        <v>1.174030714208413</v>
      </c>
      <c r="R77" s="31">
        <v>1.0881929165762829</v>
      </c>
      <c r="S77" s="31">
        <v>1.0219682093560849</v>
      </c>
      <c r="T77" s="31">
        <v>0.97134708736098629</v>
      </c>
      <c r="U77" s="31">
        <v>0.93223875653915356</v>
      </c>
      <c r="V77" s="31">
        <v>0.90047113397378409</v>
      </c>
      <c r="W77" s="31">
        <v>0.87179084788310013</v>
      </c>
      <c r="X77" s="31">
        <v>0.84186323762033333</v>
      </c>
      <c r="Y77" s="31">
        <v>0.8062723536737425</v>
      </c>
      <c r="Z77" s="31">
        <v>0.7605209576666021</v>
      </c>
      <c r="AA77" s="31">
        <v>0.70003052235720287</v>
      </c>
      <c r="AB77" s="31">
        <v>0.62014123163886592</v>
      </c>
      <c r="AC77" s="32">
        <v>0.51611198053992013</v>
      </c>
    </row>
    <row r="78" spans="1:29" x14ac:dyDescent="0.25">
      <c r="A78" s="30">
        <v>50</v>
      </c>
      <c r="B78" s="31">
        <v>7.3453812064138324</v>
      </c>
      <c r="C78" s="31">
        <v>6.5332776094340641</v>
      </c>
      <c r="D78" s="31">
        <v>5.791675912079854</v>
      </c>
      <c r="E78" s="31">
        <v>5.1177659495414218</v>
      </c>
      <c r="F78" s="31">
        <v>4.5086562681440228</v>
      </c>
      <c r="G78" s="31">
        <v>3.9613741253479229</v>
      </c>
      <c r="H78" s="31">
        <v>3.4728654897484161</v>
      </c>
      <c r="I78" s="31">
        <v>3.039995041075803</v>
      </c>
      <c r="J78" s="31">
        <v>2.6595461701954162</v>
      </c>
      <c r="K78" s="31">
        <v>2.3282209791076101</v>
      </c>
      <c r="L78" s="31">
        <v>2.0426402809477429</v>
      </c>
      <c r="M78" s="31">
        <v>1.799343599986208</v>
      </c>
      <c r="N78" s="31">
        <v>1.5947891716284091</v>
      </c>
      <c r="O78" s="31">
        <v>1.4253539424147781</v>
      </c>
      <c r="P78" s="31">
        <v>1.2873335700207611</v>
      </c>
      <c r="Q78" s="31">
        <v>1.176942423256822</v>
      </c>
      <c r="R78" s="31">
        <v>1.09031358206845</v>
      </c>
      <c r="S78" s="31">
        <v>1.023498837536152</v>
      </c>
      <c r="T78" s="31">
        <v>0.97246869187545637</v>
      </c>
      <c r="U78" s="31">
        <v>0.93311235843689788</v>
      </c>
      <c r="V78" s="31">
        <v>0.90123776170605252</v>
      </c>
      <c r="W78" s="31">
        <v>0.87257153730350412</v>
      </c>
      <c r="X78" s="31">
        <v>0.8427590319848558</v>
      </c>
      <c r="Y78" s="31">
        <v>0.80736430364073875</v>
      </c>
      <c r="Z78" s="31">
        <v>0.76187012129678289</v>
      </c>
      <c r="AA78" s="31">
        <v>0.70167796511366576</v>
      </c>
      <c r="AB78" s="31">
        <v>0.62210802638707374</v>
      </c>
      <c r="AC78" s="32">
        <v>0.51839920754769686</v>
      </c>
    </row>
    <row r="79" spans="1:29" x14ac:dyDescent="0.25">
      <c r="A79" s="30">
        <v>55</v>
      </c>
      <c r="B79" s="31">
        <v>7.3984390296170552</v>
      </c>
      <c r="C79" s="31">
        <v>6.5800788220920658</v>
      </c>
      <c r="D79" s="31">
        <v>5.8327239840670044</v>
      </c>
      <c r="E79" s="31">
        <v>5.1535443581344706</v>
      </c>
      <c r="F79" s="31">
        <v>4.5396284980220809</v>
      </c>
      <c r="G79" s="31">
        <v>3.987983668592475</v>
      </c>
      <c r="H79" s="31">
        <v>3.495535845843313</v>
      </c>
      <c r="I79" s="31">
        <v>3.05912971690727</v>
      </c>
      <c r="J79" s="31">
        <v>2.6755286800520408</v>
      </c>
      <c r="K79" s="31">
        <v>2.341414844680354</v>
      </c>
      <c r="L79" s="31">
        <v>2.0533890313299361</v>
      </c>
      <c r="M79" s="31">
        <v>1.8079707716735529</v>
      </c>
      <c r="N79" s="31">
        <v>1.60159830851897</v>
      </c>
      <c r="O79" s="31">
        <v>1.430628595808995</v>
      </c>
      <c r="P79" s="31">
        <v>1.291337298621438</v>
      </c>
      <c r="Q79" s="31">
        <v>1.1799187931691359</v>
      </c>
      <c r="R79" s="31">
        <v>1.0924861667999539</v>
      </c>
      <c r="S79" s="31">
        <v>1.0250712179967549</v>
      </c>
      <c r="T79" s="31">
        <v>0.97362445637744077</v>
      </c>
      <c r="U79" s="31">
        <v>0.93401510269491861</v>
      </c>
      <c r="V79" s="31">
        <v>0.90203108883713568</v>
      </c>
      <c r="W79" s="31">
        <v>0.87337905782703962</v>
      </c>
      <c r="X79" s="31">
        <v>0.84368436382260659</v>
      </c>
      <c r="Y79" s="31">
        <v>0.8084910721168298</v>
      </c>
      <c r="Z79" s="31">
        <v>0.7632619591377241</v>
      </c>
      <c r="AA79" s="31">
        <v>0.70337851244831739</v>
      </c>
      <c r="AB79" s="31">
        <v>0.62414093074668509</v>
      </c>
      <c r="AC79" s="32">
        <v>0.5207681238658709</v>
      </c>
    </row>
    <row r="80" spans="1:29" x14ac:dyDescent="0.25">
      <c r="A80" s="30">
        <v>60</v>
      </c>
      <c r="B80" s="31">
        <v>7.4520563256199877</v>
      </c>
      <c r="C80" s="31">
        <v>6.627388461782151</v>
      </c>
      <c r="D80" s="31">
        <v>5.8742320119843914</v>
      </c>
      <c r="E80" s="31">
        <v>5.1897368262216839</v>
      </c>
      <c r="F80" s="31">
        <v>4.5709714656240124</v>
      </c>
      <c r="G80" s="31">
        <v>4.0149232024563863</v>
      </c>
      <c r="H80" s="31">
        <v>3.5184980201188369</v>
      </c>
      <c r="I80" s="31">
        <v>3.078520613146404</v>
      </c>
      <c r="J80" s="31">
        <v>2.6917343872091619</v>
      </c>
      <c r="K80" s="31">
        <v>2.3548014591121942</v>
      </c>
      <c r="L80" s="31">
        <v>2.0643026567956069</v>
      </c>
      <c r="M80" s="31">
        <v>1.816737519334529</v>
      </c>
      <c r="N80" s="31">
        <v>1.6085242969391</v>
      </c>
      <c r="O80" s="31">
        <v>1.435999950954497</v>
      </c>
      <c r="P80" s="31">
        <v>1.2954201538608969</v>
      </c>
      <c r="Q80" s="31">
        <v>1.182959289273511</v>
      </c>
      <c r="R80" s="31">
        <v>1.0947104519425599</v>
      </c>
      <c r="S80" s="31">
        <v>1.0266854477532921</v>
      </c>
      <c r="T80" s="31">
        <v>0.97481479372597035</v>
      </c>
      <c r="U80" s="31">
        <v>0.93494771801587861</v>
      </c>
      <c r="V80" s="31">
        <v>0.90285215991331957</v>
      </c>
      <c r="W80" s="31">
        <v>0.87421476984362623</v>
      </c>
      <c r="X80" s="31">
        <v>0.84464090936712499</v>
      </c>
      <c r="Y80" s="31">
        <v>0.80965465117920143</v>
      </c>
      <c r="Z80" s="31">
        <v>0.76469877911022477</v>
      </c>
      <c r="AA80" s="31">
        <v>0.7051347881256016</v>
      </c>
      <c r="AB80" s="31">
        <v>0.6262428843257527</v>
      </c>
      <c r="AC80" s="32">
        <v>0.52322198494612404</v>
      </c>
    </row>
    <row r="81" spans="1:29" x14ac:dyDescent="0.25">
      <c r="A81" s="30">
        <v>65</v>
      </c>
      <c r="B81" s="31">
        <v>7.5062277230476573</v>
      </c>
      <c r="C81" s="31">
        <v>6.6752014729729687</v>
      </c>
      <c r="D81" s="31">
        <v>5.9161952561442899</v>
      </c>
      <c r="E81" s="31">
        <v>5.2263389299589669</v>
      </c>
      <c r="F81" s="31">
        <v>4.602681062949352</v>
      </c>
      <c r="G81" s="31">
        <v>4.0421889347828213</v>
      </c>
      <c r="H81" s="31">
        <v>3.541748536261776</v>
      </c>
      <c r="I81" s="31">
        <v>3.0981645693236279</v>
      </c>
      <c r="J81" s="31">
        <v>2.708160447040818</v>
      </c>
      <c r="K81" s="31">
        <v>2.3683782936208022</v>
      </c>
      <c r="L81" s="31">
        <v>2.0753789444060531</v>
      </c>
      <c r="M81" s="31">
        <v>1.8256419458740689</v>
      </c>
      <c r="N81" s="31">
        <v>1.615565555637362</v>
      </c>
      <c r="O81" s="31">
        <v>1.4414667424434751</v>
      </c>
      <c r="P81" s="31">
        <v>1.2995811861749591</v>
      </c>
      <c r="Q81" s="31">
        <v>1.186063277849386</v>
      </c>
      <c r="R81" s="31">
        <v>1.096986119619354</v>
      </c>
      <c r="S81" s="31">
        <v>1.0283415247724741</v>
      </c>
      <c r="T81" s="31">
        <v>0.97604001773138538</v>
      </c>
      <c r="U81" s="31">
        <v>0.93591083405373376</v>
      </c>
      <c r="V81" s="31">
        <v>0.90370192043220288</v>
      </c>
      <c r="W81" s="31">
        <v>0.87507993469447842</v>
      </c>
      <c r="X81" s="31">
        <v>0.84563024580327528</v>
      </c>
      <c r="Y81" s="31">
        <v>0.81085693385633373</v>
      </c>
      <c r="Z81" s="31">
        <v>0.7661827900863899</v>
      </c>
      <c r="AA81" s="31">
        <v>0.70694931686122875</v>
      </c>
      <c r="AB81" s="31">
        <v>0.6284167276836492</v>
      </c>
      <c r="AC81" s="32">
        <v>0.52576394719144492</v>
      </c>
    </row>
    <row r="82" spans="1:29" x14ac:dyDescent="0.25">
      <c r="A82" s="30">
        <v>70</v>
      </c>
      <c r="B82" s="31">
        <v>7.560947751476391</v>
      </c>
      <c r="C82" s="31">
        <v>6.7235127010844762</v>
      </c>
      <c r="D82" s="31">
        <v>5.9586088778102901</v>
      </c>
      <c r="E82" s="31">
        <v>5.2633461464535332</v>
      </c>
      <c r="F82" s="31">
        <v>4.6347530829489392</v>
      </c>
      <c r="G82" s="31">
        <v>4.0697769743662473</v>
      </c>
      <c r="H82" s="31">
        <v>3.5652838189102289</v>
      </c>
      <c r="I82" s="31">
        <v>3.1180583259206691</v>
      </c>
      <c r="J82" s="31">
        <v>2.7248039158723718</v>
      </c>
      <c r="K82" s="31">
        <v>2.3821427203751671</v>
      </c>
      <c r="L82" s="31">
        <v>2.0866155821738932</v>
      </c>
      <c r="M82" s="31">
        <v>1.834682055148422</v>
      </c>
      <c r="N82" s="31">
        <v>1.622720404313631</v>
      </c>
      <c r="O82" s="31">
        <v>1.4470276058194349</v>
      </c>
      <c r="P82" s="31">
        <v>1.30381934695075</v>
      </c>
      <c r="Q82" s="31">
        <v>1.189230026127521</v>
      </c>
      <c r="R82" s="31">
        <v>1.099312752904718</v>
      </c>
      <c r="S82" s="31">
        <v>1.0300393479723191</v>
      </c>
      <c r="T82" s="31">
        <v>0.97730034315532999</v>
      </c>
      <c r="U82" s="31">
        <v>0.93690498141376755</v>
      </c>
      <c r="V82" s="31">
        <v>0.90458121684268789</v>
      </c>
      <c r="W82" s="31">
        <v>0.87597571467213586</v>
      </c>
      <c r="X82" s="31">
        <v>0.84665385126721038</v>
      </c>
      <c r="Y82" s="31">
        <v>0.81209971412800985</v>
      </c>
      <c r="Z82" s="31">
        <v>0.76771610188965056</v>
      </c>
      <c r="AA82" s="31">
        <v>0.70882452432227627</v>
      </c>
      <c r="AB82" s="31">
        <v>0.63066520233104584</v>
      </c>
      <c r="AC82" s="32">
        <v>0.52839706795615626</v>
      </c>
    </row>
    <row r="83" spans="1:29" x14ac:dyDescent="0.25">
      <c r="A83" s="30">
        <v>75</v>
      </c>
      <c r="B83" s="31">
        <v>7.6162108414338121</v>
      </c>
      <c r="C83" s="31">
        <v>6.7723168924879351</v>
      </c>
      <c r="D83" s="31">
        <v>6.001467939197271</v>
      </c>
      <c r="E83" s="31">
        <v>5.3007538537639043</v>
      </c>
      <c r="F83" s="31">
        <v>4.6671832195249214</v>
      </c>
      <c r="G83" s="31">
        <v>4.0976833309524396</v>
      </c>
      <c r="H83" s="31">
        <v>3.589100193653604</v>
      </c>
      <c r="I83" s="31">
        <v>3.1381985243705581</v>
      </c>
      <c r="J83" s="31">
        <v>2.7416617509804841</v>
      </c>
      <c r="K83" s="31">
        <v>2.3960920124955738</v>
      </c>
      <c r="L83" s="31">
        <v>2.0980101590630471</v>
      </c>
      <c r="M83" s="31">
        <v>1.84385575196513</v>
      </c>
      <c r="N83" s="31">
        <v>1.629987063619079</v>
      </c>
      <c r="O83" s="31">
        <v>1.4526810775771759</v>
      </c>
      <c r="P83" s="31">
        <v>1.3081334885267051</v>
      </c>
      <c r="Q83" s="31">
        <v>1.1924587022899851</v>
      </c>
      <c r="R83" s="31">
        <v>1.101689835824345</v>
      </c>
      <c r="S83" s="31">
        <v>1.031778717222144</v>
      </c>
      <c r="T83" s="31">
        <v>0.97859588571074985</v>
      </c>
      <c r="U83" s="31">
        <v>0.93793059165254988</v>
      </c>
      <c r="V83" s="31">
        <v>0.90549079654497211</v>
      </c>
      <c r="W83" s="31">
        <v>0.87690317302043408</v>
      </c>
      <c r="X83" s="31">
        <v>0.84771310484639417</v>
      </c>
      <c r="Y83" s="31">
        <v>0.81338468692532251</v>
      </c>
      <c r="Z83" s="31">
        <v>0.76930072529471283</v>
      </c>
      <c r="AA83" s="31">
        <v>0.71076273712706595</v>
      </c>
      <c r="AB83" s="31">
        <v>0.63299095072992895</v>
      </c>
      <c r="AC83" s="32">
        <v>0.53112430554584122</v>
      </c>
    </row>
    <row r="84" spans="1:29" x14ac:dyDescent="0.25">
      <c r="A84" s="33">
        <v>80</v>
      </c>
      <c r="B84" s="34">
        <v>7.6720113243988663</v>
      </c>
      <c r="C84" s="34">
        <v>6.8216086945059153</v>
      </c>
      <c r="D84" s="34">
        <v>6.0447674034714414</v>
      </c>
      <c r="E84" s="34">
        <v>5.3385573308998966</v>
      </c>
      <c r="F84" s="34">
        <v>4.6999670675307552</v>
      </c>
      <c r="G84" s="34">
        <v>4.1259039152384869</v>
      </c>
      <c r="H84" s="34">
        <v>3.6131938870326081</v>
      </c>
      <c r="I84" s="34">
        <v>3.1585817070576381</v>
      </c>
      <c r="J84" s="34">
        <v>2.7587308105931219</v>
      </c>
      <c r="K84" s="34">
        <v>2.4102233440536258</v>
      </c>
      <c r="L84" s="34">
        <v>2.1095601649887339</v>
      </c>
      <c r="M84" s="34">
        <v>1.853160842083049</v>
      </c>
      <c r="N84" s="34">
        <v>1.6373636551561901</v>
      </c>
      <c r="O84" s="34">
        <v>1.4584255951628109</v>
      </c>
      <c r="P84" s="34">
        <v>1.312522364192561</v>
      </c>
      <c r="Q84" s="34">
        <v>1.195748375470135</v>
      </c>
      <c r="R84" s="34">
        <v>1.1041167533552321</v>
      </c>
      <c r="S84" s="34">
        <v>1.0335593333425721</v>
      </c>
      <c r="T84" s="34">
        <v>0.97992666206190138</v>
      </c>
      <c r="U84" s="34">
        <v>0.93898799727796911</v>
      </c>
      <c r="V84" s="34">
        <v>0.90643130789057258</v>
      </c>
      <c r="W84" s="34">
        <v>0.87786327393450714</v>
      </c>
      <c r="X84" s="34">
        <v>0.84880928657959043</v>
      </c>
      <c r="Y84" s="34">
        <v>0.8147134481306697</v>
      </c>
      <c r="Z84" s="34">
        <v>0.77093857202760174</v>
      </c>
      <c r="AA84" s="34">
        <v>0.71276618284526638</v>
      </c>
      <c r="AB84" s="34">
        <v>0.63539651629357241</v>
      </c>
      <c r="AC84" s="35">
        <v>0.53394851921742159</v>
      </c>
    </row>
    <row r="87" spans="1:29" ht="28.9" customHeight="1" x14ac:dyDescent="0.5">
      <c r="A87" s="1" t="s">
        <v>32</v>
      </c>
    </row>
    <row r="88" spans="1:29" ht="32.1" customHeight="1" x14ac:dyDescent="0.25"/>
    <row r="89" spans="1:29" x14ac:dyDescent="0.25">
      <c r="A89" s="2"/>
      <c r="B89" s="3"/>
      <c r="C89" s="3"/>
      <c r="D89" s="4"/>
    </row>
    <row r="90" spans="1:29" x14ac:dyDescent="0.25">
      <c r="A90" s="5" t="s">
        <v>33</v>
      </c>
      <c r="B90" s="6">
        <v>1.885</v>
      </c>
      <c r="C90" s="6" t="s">
        <v>13</v>
      </c>
      <c r="D90" s="7"/>
    </row>
    <row r="91" spans="1:29" x14ac:dyDescent="0.25">
      <c r="A91" s="8"/>
      <c r="B91" s="9"/>
      <c r="C91" s="9"/>
      <c r="D91" s="10"/>
    </row>
    <row r="94" spans="1:29" ht="48" customHeight="1" x14ac:dyDescent="0.25">
      <c r="A94" s="21" t="s">
        <v>34</v>
      </c>
      <c r="B94" s="23" t="s">
        <v>35</v>
      </c>
    </row>
    <row r="95" spans="1:29" x14ac:dyDescent="0.25">
      <c r="A95" s="5">
        <v>0</v>
      </c>
      <c r="B95" s="32">
        <v>0.31000000000000011</v>
      </c>
    </row>
    <row r="96" spans="1:29" x14ac:dyDescent="0.25">
      <c r="A96" s="5">
        <v>6.0999999999999999E-2</v>
      </c>
      <c r="B96" s="32">
        <v>0.34667933333333328</v>
      </c>
    </row>
    <row r="97" spans="1:2" x14ac:dyDescent="0.25">
      <c r="A97" s="5">
        <v>0.122</v>
      </c>
      <c r="B97" s="32">
        <v>0.33974346666666683</v>
      </c>
    </row>
    <row r="98" spans="1:2" x14ac:dyDescent="0.25">
      <c r="A98" s="5">
        <v>0.182</v>
      </c>
      <c r="B98" s="32">
        <v>0.30820746666666682</v>
      </c>
    </row>
    <row r="99" spans="1:2" x14ac:dyDescent="0.25">
      <c r="A99" s="5">
        <v>0.24299999999999999</v>
      </c>
      <c r="B99" s="32">
        <v>0.27289933333333338</v>
      </c>
    </row>
    <row r="100" spans="1:2" x14ac:dyDescent="0.25">
      <c r="A100" s="5">
        <v>0.30399999999999999</v>
      </c>
      <c r="B100" s="32">
        <v>0.22819496296296291</v>
      </c>
    </row>
    <row r="101" spans="1:2" x14ac:dyDescent="0.25">
      <c r="A101" s="5">
        <v>0.36499999999999999</v>
      </c>
      <c r="B101" s="32">
        <v>0.1817641666666667</v>
      </c>
    </row>
    <row r="102" spans="1:2" x14ac:dyDescent="0.25">
      <c r="A102" s="5">
        <v>0.42599999999999999</v>
      </c>
      <c r="B102" s="32">
        <v>0.1329520000000001</v>
      </c>
    </row>
    <row r="103" spans="1:2" x14ac:dyDescent="0.25">
      <c r="A103" s="5">
        <v>0.48599999999999999</v>
      </c>
      <c r="B103" s="32">
        <v>8.5837066666666795E-2</v>
      </c>
    </row>
    <row r="104" spans="1:2" x14ac:dyDescent="0.25">
      <c r="A104" s="5">
        <v>0.54700000000000004</v>
      </c>
      <c r="B104" s="32">
        <v>0.1355753333333333</v>
      </c>
    </row>
    <row r="105" spans="1:2" x14ac:dyDescent="0.25">
      <c r="A105" s="5">
        <v>0.60799999999999998</v>
      </c>
      <c r="B105" s="32">
        <v>0.11025155555555551</v>
      </c>
    </row>
    <row r="106" spans="1:2" x14ac:dyDescent="0.25">
      <c r="A106" s="5">
        <v>0.66900000000000004</v>
      </c>
      <c r="B106" s="32">
        <v>9.8955999999999905E-2</v>
      </c>
    </row>
    <row r="107" spans="1:2" x14ac:dyDescent="0.25">
      <c r="A107" s="5">
        <v>0.73</v>
      </c>
      <c r="B107" s="32">
        <v>8.3645333333333349E-2</v>
      </c>
    </row>
    <row r="108" spans="1:2" x14ac:dyDescent="0.25">
      <c r="A108" s="5">
        <v>0.79</v>
      </c>
      <c r="B108" s="32">
        <v>6.0182222222222359E-2</v>
      </c>
    </row>
    <row r="109" spans="1:2" x14ac:dyDescent="0.25">
      <c r="A109" s="5">
        <v>0.85099999999999998</v>
      </c>
      <c r="B109" s="32">
        <v>7.0635111111111121E-2</v>
      </c>
    </row>
    <row r="110" spans="1:2" x14ac:dyDescent="0.25">
      <c r="A110" s="5">
        <v>0.91200000000000003</v>
      </c>
      <c r="B110" s="32">
        <v>4.7754666666666543E-2</v>
      </c>
    </row>
    <row r="111" spans="1:2" x14ac:dyDescent="0.25">
      <c r="A111" s="5">
        <v>0.97299999999999998</v>
      </c>
      <c r="B111" s="32">
        <v>4.8811333333333248E-2</v>
      </c>
    </row>
    <row r="112" spans="1:2" x14ac:dyDescent="0.25">
      <c r="A112" s="5">
        <v>1.034</v>
      </c>
      <c r="B112" s="32">
        <v>3.6140977777777868E-2</v>
      </c>
    </row>
    <row r="113" spans="1:2" x14ac:dyDescent="0.25">
      <c r="A113" s="5">
        <v>1.0940000000000001</v>
      </c>
      <c r="B113" s="32">
        <v>1.568266666666638E-2</v>
      </c>
    </row>
    <row r="114" spans="1:2" x14ac:dyDescent="0.25">
      <c r="A114" s="5">
        <v>1.155</v>
      </c>
      <c r="B114" s="32">
        <v>2.6185945945945699E-2</v>
      </c>
    </row>
    <row r="115" spans="1:2" x14ac:dyDescent="0.25">
      <c r="A115" s="5">
        <v>1.216</v>
      </c>
      <c r="B115" s="32">
        <v>2.5684756756756591E-2</v>
      </c>
    </row>
    <row r="116" spans="1:2" x14ac:dyDescent="0.25">
      <c r="A116" s="5">
        <v>1.2769999999999999</v>
      </c>
      <c r="B116" s="32">
        <v>2.5183567567567591E-2</v>
      </c>
    </row>
    <row r="117" spans="1:2" x14ac:dyDescent="0.25">
      <c r="A117" s="5">
        <v>1.3380000000000001</v>
      </c>
      <c r="B117" s="32">
        <v>2.2807441860465221E-2</v>
      </c>
    </row>
    <row r="118" spans="1:2" x14ac:dyDescent="0.25">
      <c r="A118" s="5">
        <v>1.3979999999999999</v>
      </c>
      <c r="B118" s="32">
        <v>1.970046511627898E-2</v>
      </c>
    </row>
    <row r="119" spans="1:2" x14ac:dyDescent="0.25">
      <c r="A119" s="5">
        <v>1.4590000000000001</v>
      </c>
      <c r="B119" s="32">
        <v>1.6541705426356509E-2</v>
      </c>
    </row>
    <row r="120" spans="1:2" x14ac:dyDescent="0.25">
      <c r="A120" s="5">
        <v>1.52</v>
      </c>
      <c r="B120" s="32">
        <v>1.338294573643384E-2</v>
      </c>
    </row>
    <row r="121" spans="1:2" x14ac:dyDescent="0.25">
      <c r="A121" s="5">
        <v>1.581</v>
      </c>
      <c r="B121" s="32">
        <v>1.022418604651157E-2</v>
      </c>
    </row>
    <row r="122" spans="1:2" x14ac:dyDescent="0.25">
      <c r="A122" s="5">
        <v>1.6419999999999999</v>
      </c>
      <c r="B122" s="32">
        <v>8.1887278582929244E-3</v>
      </c>
    </row>
    <row r="123" spans="1:2" x14ac:dyDescent="0.25">
      <c r="A123" s="5">
        <v>1.702</v>
      </c>
      <c r="B123" s="32">
        <v>7.2805152979066087E-3</v>
      </c>
    </row>
    <row r="124" spans="1:2" x14ac:dyDescent="0.25">
      <c r="A124" s="5">
        <v>1.7629999999999999</v>
      </c>
      <c r="B124" s="32">
        <v>6.3571658615136049E-3</v>
      </c>
    </row>
    <row r="125" spans="1:2" x14ac:dyDescent="0.25">
      <c r="A125" s="5">
        <v>1.8240000000000001</v>
      </c>
      <c r="B125" s="32">
        <v>5.4338164251205969E-3</v>
      </c>
    </row>
    <row r="126" spans="1:2" x14ac:dyDescent="0.25">
      <c r="A126" s="5">
        <v>1.885</v>
      </c>
      <c r="B126" s="32">
        <v>0</v>
      </c>
    </row>
    <row r="127" spans="1:2" x14ac:dyDescent="0.25">
      <c r="A127" s="5">
        <v>1.946</v>
      </c>
      <c r="B127" s="32">
        <v>0</v>
      </c>
    </row>
    <row r="128" spans="1:2" x14ac:dyDescent="0.25">
      <c r="A128" s="5">
        <v>2.0059999999999998</v>
      </c>
      <c r="B128" s="32">
        <v>0</v>
      </c>
    </row>
    <row r="129" spans="1:2" x14ac:dyDescent="0.25">
      <c r="A129" s="5">
        <v>2.0670000000000002</v>
      </c>
      <c r="B129" s="32">
        <v>0</v>
      </c>
    </row>
    <row r="130" spans="1:2" x14ac:dyDescent="0.25">
      <c r="A130" s="5">
        <v>2.1280000000000001</v>
      </c>
      <c r="B130" s="32">
        <v>0</v>
      </c>
    </row>
    <row r="131" spans="1:2" x14ac:dyDescent="0.25">
      <c r="A131" s="5">
        <v>2.1890000000000001</v>
      </c>
      <c r="B131" s="32">
        <v>0</v>
      </c>
    </row>
    <row r="132" spans="1:2" x14ac:dyDescent="0.25">
      <c r="A132" s="5">
        <v>2.25</v>
      </c>
      <c r="B132" s="32">
        <v>0</v>
      </c>
    </row>
    <row r="133" spans="1:2" x14ac:dyDescent="0.25">
      <c r="A133" s="5">
        <v>2.31</v>
      </c>
      <c r="B133" s="32">
        <v>0</v>
      </c>
    </row>
    <row r="134" spans="1:2" x14ac:dyDescent="0.25">
      <c r="A134" s="5">
        <v>2.371</v>
      </c>
      <c r="B134" s="32">
        <v>0</v>
      </c>
    </row>
    <row r="135" spans="1:2" x14ac:dyDescent="0.25">
      <c r="A135" s="5">
        <v>2.4319999999999999</v>
      </c>
      <c r="B135" s="32">
        <v>0</v>
      </c>
    </row>
    <row r="136" spans="1:2" x14ac:dyDescent="0.25">
      <c r="A136" s="5">
        <v>2.4929999999999999</v>
      </c>
      <c r="B136" s="32">
        <v>0</v>
      </c>
    </row>
    <row r="137" spans="1:2" x14ac:dyDescent="0.25">
      <c r="A137" s="5">
        <v>2.5539999999999998</v>
      </c>
      <c r="B137" s="32">
        <v>0</v>
      </c>
    </row>
    <row r="138" spans="1:2" x14ac:dyDescent="0.25">
      <c r="A138" s="5">
        <v>2.6139999999999999</v>
      </c>
      <c r="B138" s="32">
        <v>0</v>
      </c>
    </row>
    <row r="139" spans="1:2" x14ac:dyDescent="0.25">
      <c r="A139" s="5">
        <v>2.6749999999999998</v>
      </c>
      <c r="B139" s="32">
        <v>0</v>
      </c>
    </row>
    <row r="140" spans="1:2" x14ac:dyDescent="0.25">
      <c r="A140" s="5">
        <v>2.7360000000000002</v>
      </c>
      <c r="B140" s="32">
        <v>0</v>
      </c>
    </row>
    <row r="141" spans="1:2" x14ac:dyDescent="0.25">
      <c r="A141" s="5">
        <v>2.7970000000000002</v>
      </c>
      <c r="B141" s="32">
        <v>0</v>
      </c>
    </row>
    <row r="142" spans="1:2" x14ac:dyDescent="0.25">
      <c r="A142" s="5">
        <v>2.8580000000000001</v>
      </c>
      <c r="B142" s="32">
        <v>0</v>
      </c>
    </row>
    <row r="143" spans="1:2" x14ac:dyDescent="0.25">
      <c r="A143" s="5">
        <v>2.9180000000000001</v>
      </c>
      <c r="B143" s="32">
        <v>0</v>
      </c>
    </row>
    <row r="144" spans="1:2" x14ac:dyDescent="0.25">
      <c r="A144" s="5">
        <v>2.9790000000000001</v>
      </c>
      <c r="B144" s="32">
        <v>0</v>
      </c>
    </row>
    <row r="145" spans="1:2" x14ac:dyDescent="0.25">
      <c r="A145" s="5">
        <v>3.04</v>
      </c>
      <c r="B145" s="32">
        <v>0</v>
      </c>
    </row>
    <row r="146" spans="1:2" x14ac:dyDescent="0.25">
      <c r="A146" s="5">
        <v>3.101</v>
      </c>
      <c r="B146" s="32">
        <v>0</v>
      </c>
    </row>
    <row r="147" spans="1:2" x14ac:dyDescent="0.25">
      <c r="A147" s="5">
        <v>3.1619999999999999</v>
      </c>
      <c r="B147" s="32">
        <v>0</v>
      </c>
    </row>
    <row r="148" spans="1:2" x14ac:dyDescent="0.25">
      <c r="A148" s="5">
        <v>3.222</v>
      </c>
      <c r="B148" s="32">
        <v>0</v>
      </c>
    </row>
    <row r="149" spans="1:2" x14ac:dyDescent="0.25">
      <c r="A149" s="5">
        <v>3.2829999999999999</v>
      </c>
      <c r="B149" s="32">
        <v>0</v>
      </c>
    </row>
    <row r="150" spans="1:2" x14ac:dyDescent="0.25">
      <c r="A150" s="5">
        <v>3.3439999999999999</v>
      </c>
      <c r="B150" s="32">
        <v>0</v>
      </c>
    </row>
    <row r="151" spans="1:2" x14ac:dyDescent="0.25">
      <c r="A151" s="5">
        <v>3.4049999999999998</v>
      </c>
      <c r="B151" s="32">
        <v>0</v>
      </c>
    </row>
    <row r="152" spans="1:2" x14ac:dyDescent="0.25">
      <c r="A152" s="5">
        <v>3.4660000000000002</v>
      </c>
      <c r="B152" s="32">
        <v>0</v>
      </c>
    </row>
    <row r="153" spans="1:2" x14ac:dyDescent="0.25">
      <c r="A153" s="5">
        <v>3.5259999999999998</v>
      </c>
      <c r="B153" s="32">
        <v>0</v>
      </c>
    </row>
    <row r="154" spans="1:2" x14ac:dyDescent="0.25">
      <c r="A154" s="5">
        <v>3.5870000000000002</v>
      </c>
      <c r="B154" s="32">
        <v>0</v>
      </c>
    </row>
    <row r="155" spans="1:2" x14ac:dyDescent="0.25">
      <c r="A155" s="5">
        <v>3.6480000000000001</v>
      </c>
      <c r="B155" s="32">
        <v>0</v>
      </c>
    </row>
    <row r="156" spans="1:2" x14ac:dyDescent="0.25">
      <c r="A156" s="5">
        <v>3.7090000000000001</v>
      </c>
      <c r="B156" s="32">
        <v>0</v>
      </c>
    </row>
    <row r="157" spans="1:2" x14ac:dyDescent="0.25">
      <c r="A157" s="5">
        <v>3.77</v>
      </c>
      <c r="B157" s="32">
        <v>0</v>
      </c>
    </row>
    <row r="158" spans="1:2" x14ac:dyDescent="0.25">
      <c r="A158" s="5">
        <v>3.83</v>
      </c>
      <c r="B158" s="32">
        <v>0</v>
      </c>
    </row>
    <row r="159" spans="1:2" x14ac:dyDescent="0.25">
      <c r="A159" s="5">
        <v>3.891</v>
      </c>
      <c r="B159" s="32">
        <v>0</v>
      </c>
    </row>
    <row r="160" spans="1:2" x14ac:dyDescent="0.25">
      <c r="A160" s="5">
        <v>3.952</v>
      </c>
      <c r="B160" s="32">
        <v>0</v>
      </c>
    </row>
    <row r="161" spans="1:2" x14ac:dyDescent="0.25">
      <c r="A161" s="8">
        <v>4.0129999999999999</v>
      </c>
      <c r="B161" s="35">
        <v>0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AH127"/>
  <sheetViews>
    <sheetView workbookViewId="0">
      <selection activeCell="F9" sqref="F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0.42999999999999988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0</v>
      </c>
      <c r="B42" s="6">
        <v>68.192472530379732</v>
      </c>
      <c r="C42" s="6">
        <f>68.1924725303797 * $B$37 / 100</f>
        <v>68.192472530379703</v>
      </c>
      <c r="D42" s="6">
        <v>8.5921000000000003</v>
      </c>
      <c r="E42" s="7">
        <f>8.5921 * $B$37 / 100</f>
        <v>8.5921000000000003</v>
      </c>
    </row>
    <row r="43" spans="1:5" x14ac:dyDescent="0.25">
      <c r="A43" s="5">
        <v>5</v>
      </c>
      <c r="B43" s="6">
        <v>68.595138362228624</v>
      </c>
      <c r="C43" s="6">
        <f>68.5951383622286 * $B$37 / 100</f>
        <v>68.595138362228596</v>
      </c>
      <c r="D43" s="6">
        <v>8.6428350000000016</v>
      </c>
      <c r="E43" s="7">
        <f>8.642835 * $B$37 / 100</f>
        <v>8.6428349999999998</v>
      </c>
    </row>
    <row r="44" spans="1:5" x14ac:dyDescent="0.25">
      <c r="A44" s="5">
        <v>10</v>
      </c>
      <c r="B44" s="6">
        <v>68.997804194077503</v>
      </c>
      <c r="C44" s="6">
        <f>68.9978041940775 * $B$37 / 100</f>
        <v>68.997804194077503</v>
      </c>
      <c r="D44" s="6">
        <v>8.6935700000000011</v>
      </c>
      <c r="E44" s="7">
        <f>8.69357 * $B$37 / 100</f>
        <v>8.6935699999999994</v>
      </c>
    </row>
    <row r="45" spans="1:5" x14ac:dyDescent="0.25">
      <c r="A45" s="5">
        <v>15</v>
      </c>
      <c r="B45" s="6">
        <v>69.400470025926396</v>
      </c>
      <c r="C45" s="6">
        <f>69.4004700259264 * $B$37 / 100</f>
        <v>69.400470025926396</v>
      </c>
      <c r="D45" s="6">
        <v>8.7443050000000007</v>
      </c>
      <c r="E45" s="7">
        <f>8.744305 * $B$37 / 100</f>
        <v>8.7443050000000007</v>
      </c>
    </row>
    <row r="46" spans="1:5" x14ac:dyDescent="0.25">
      <c r="A46" s="5">
        <v>20</v>
      </c>
      <c r="B46" s="6">
        <v>69.803135857775274</v>
      </c>
      <c r="C46" s="6">
        <f>69.8031358577752 * $B$37 / 100</f>
        <v>69.803135857775203</v>
      </c>
      <c r="D46" s="6">
        <v>8.7950400000000002</v>
      </c>
      <c r="E46" s="7">
        <f>8.79504 * $B$37 / 100</f>
        <v>8.7950400000000002</v>
      </c>
    </row>
    <row r="47" spans="1:5" x14ac:dyDescent="0.25">
      <c r="A47" s="5">
        <v>25</v>
      </c>
      <c r="B47" s="6">
        <v>70.205801689624167</v>
      </c>
      <c r="C47" s="6">
        <f>70.2058016896241 * $B$37 / 100</f>
        <v>70.205801689624096</v>
      </c>
      <c r="D47" s="6">
        <v>8.8457750000000015</v>
      </c>
      <c r="E47" s="7">
        <f>8.845775 * $B$37 / 100</f>
        <v>8.8457749999999997</v>
      </c>
    </row>
    <row r="48" spans="1:5" x14ac:dyDescent="0.25">
      <c r="A48" s="5">
        <v>30</v>
      </c>
      <c r="B48" s="6">
        <v>70.608467521473045</v>
      </c>
      <c r="C48" s="6">
        <f>70.608467521473 * $B$37 / 100</f>
        <v>70.608467521473003</v>
      </c>
      <c r="D48" s="6">
        <v>8.896510000000001</v>
      </c>
      <c r="E48" s="7">
        <f>8.89651 * $B$37 / 100</f>
        <v>8.8965099999999993</v>
      </c>
    </row>
    <row r="49" spans="1:18" x14ac:dyDescent="0.25">
      <c r="A49" s="5">
        <v>35</v>
      </c>
      <c r="B49" s="6">
        <v>71.011133353321938</v>
      </c>
      <c r="C49" s="6">
        <f>71.0111333533219 * $B$37 / 100</f>
        <v>71.011133353321895</v>
      </c>
      <c r="D49" s="6">
        <v>8.9472450000000006</v>
      </c>
      <c r="E49" s="7">
        <f>8.947245 * $B$37 / 100</f>
        <v>8.9472450000000006</v>
      </c>
    </row>
    <row r="50" spans="1:18" x14ac:dyDescent="0.25">
      <c r="A50" s="5">
        <v>40</v>
      </c>
      <c r="B50" s="6">
        <v>71.413799185170816</v>
      </c>
      <c r="C50" s="6">
        <f>71.4137991851708 * $B$37 / 100</f>
        <v>71.413799185170802</v>
      </c>
      <c r="D50" s="6">
        <v>8.9979800000000001</v>
      </c>
      <c r="E50" s="7">
        <f>8.99798 * $B$37 / 100</f>
        <v>8.9979800000000001</v>
      </c>
    </row>
    <row r="51" spans="1:18" x14ac:dyDescent="0.25">
      <c r="A51" s="5">
        <v>45</v>
      </c>
      <c r="B51" s="6">
        <v>71.816465017019709</v>
      </c>
      <c r="C51" s="6">
        <f>71.8164650170197 * $B$37 / 100</f>
        <v>71.816465017019695</v>
      </c>
      <c r="D51" s="6">
        <v>9.0487150000000014</v>
      </c>
      <c r="E51" s="7">
        <f>9.048715 * $B$37 / 100</f>
        <v>9.0487149999999996</v>
      </c>
    </row>
    <row r="52" spans="1:18" x14ac:dyDescent="0.25">
      <c r="A52" s="5">
        <v>50</v>
      </c>
      <c r="B52" s="6">
        <v>72.219130848868588</v>
      </c>
      <c r="C52" s="6">
        <f>72.2191308488685 * $B$37 / 100</f>
        <v>72.219130848868502</v>
      </c>
      <c r="D52" s="6">
        <v>9.0994500000000009</v>
      </c>
      <c r="E52" s="7">
        <f>9.09945 * $B$37 / 100</f>
        <v>9.0994499999999992</v>
      </c>
    </row>
    <row r="53" spans="1:18" x14ac:dyDescent="0.25">
      <c r="A53" s="5">
        <v>55</v>
      </c>
      <c r="B53" s="6">
        <v>72.62179668071748</v>
      </c>
      <c r="C53" s="6">
        <f>72.6217966807174 * $B$37 / 100</f>
        <v>72.621796680717395</v>
      </c>
      <c r="D53" s="6">
        <v>9.1501850000000005</v>
      </c>
      <c r="E53" s="7">
        <f>9.150185 * $B$37 / 100</f>
        <v>9.1501850000000005</v>
      </c>
    </row>
    <row r="54" spans="1:18" x14ac:dyDescent="0.25">
      <c r="A54" s="5">
        <v>60</v>
      </c>
      <c r="B54" s="6">
        <v>73.024462512566373</v>
      </c>
      <c r="C54" s="6">
        <f>73.0244625125663 * $B$37 / 100</f>
        <v>73.024462512566302</v>
      </c>
      <c r="D54" s="6">
        <v>9.2009200000000018</v>
      </c>
      <c r="E54" s="7">
        <f>9.20092 * $B$37 / 100</f>
        <v>9.20092</v>
      </c>
    </row>
    <row r="55" spans="1:18" x14ac:dyDescent="0.25">
      <c r="A55" s="5">
        <v>65</v>
      </c>
      <c r="B55" s="6">
        <v>73.427128344415252</v>
      </c>
      <c r="C55" s="6">
        <f>73.4271283444152 * $B$37 / 100</f>
        <v>73.427128344415195</v>
      </c>
      <c r="D55" s="6">
        <v>9.2516549999999995</v>
      </c>
      <c r="E55" s="7">
        <f>9.251655 * $B$37 / 100</f>
        <v>9.2516549999999995</v>
      </c>
    </row>
    <row r="56" spans="1:18" x14ac:dyDescent="0.25">
      <c r="A56" s="5">
        <v>70</v>
      </c>
      <c r="B56" s="6">
        <v>73.829794176264144</v>
      </c>
      <c r="C56" s="6">
        <f>73.8297941762641 * $B$37 / 100</f>
        <v>73.829794176264102</v>
      </c>
      <c r="D56" s="6">
        <v>9.3023900000000026</v>
      </c>
      <c r="E56" s="7">
        <f>9.30239 * $B$37 / 100</f>
        <v>9.3023900000000008</v>
      </c>
    </row>
    <row r="57" spans="1:18" x14ac:dyDescent="0.25">
      <c r="A57" s="5">
        <v>75</v>
      </c>
      <c r="B57" s="6">
        <v>74.232460008113023</v>
      </c>
      <c r="C57" s="6">
        <f>74.232460008113 * $B$37 / 100</f>
        <v>74.232460008112994</v>
      </c>
      <c r="D57" s="6">
        <v>9.3531250000000004</v>
      </c>
      <c r="E57" s="7">
        <f>9.353125 * $B$37 / 100</f>
        <v>9.3531250000000004</v>
      </c>
    </row>
    <row r="58" spans="1:18" x14ac:dyDescent="0.25">
      <c r="A58" s="8">
        <v>80</v>
      </c>
      <c r="B58" s="9">
        <v>74.635125839961916</v>
      </c>
      <c r="C58" s="9">
        <f>74.6351258399619 * $B$37 / 100</f>
        <v>74.635125839961901</v>
      </c>
      <c r="D58" s="9">
        <v>9.4038599999999999</v>
      </c>
      <c r="E58" s="10">
        <f>9.40386 * $B$37 / 100</f>
        <v>9.4038599999999999</v>
      </c>
    </row>
    <row r="60" spans="1:18" ht="28.9" customHeight="1" x14ac:dyDescent="0.5">
      <c r="A60" s="1" t="s">
        <v>25</v>
      </c>
      <c r="B60" s="1"/>
    </row>
    <row r="61" spans="1:18" x14ac:dyDescent="0.25">
      <c r="A61" s="21" t="s">
        <v>26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27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28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34" ht="28.9" customHeight="1" x14ac:dyDescent="0.5">
      <c r="A65" s="1" t="s">
        <v>29</v>
      </c>
      <c r="B65" s="1"/>
    </row>
    <row r="66" spans="1:34" x14ac:dyDescent="0.25">
      <c r="A66" s="24" t="s">
        <v>30</v>
      </c>
      <c r="B66" s="25" t="s">
        <v>31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</row>
    <row r="67" spans="1:34" x14ac:dyDescent="0.25">
      <c r="A67" s="27" t="s">
        <v>20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8">
        <v>18</v>
      </c>
      <c r="AD67" s="28">
        <v>18.5</v>
      </c>
      <c r="AE67" s="28">
        <v>19</v>
      </c>
      <c r="AF67" s="28">
        <v>19.5</v>
      </c>
      <c r="AG67" s="28">
        <v>20</v>
      </c>
      <c r="AH67" s="29">
        <v>20.5</v>
      </c>
    </row>
    <row r="68" spans="1:34" x14ac:dyDescent="0.25">
      <c r="A68" s="30">
        <v>0</v>
      </c>
      <c r="B68" s="31">
        <v>6.8466848610451319</v>
      </c>
      <c r="C68" s="31">
        <v>6.0942703666997202</v>
      </c>
      <c r="D68" s="31">
        <v>5.4074646798539394</v>
      </c>
      <c r="E68" s="31">
        <v>4.7836575616743247</v>
      </c>
      <c r="F68" s="31">
        <v>4.2201574844624332</v>
      </c>
      <c r="G68" s="31">
        <v>3.714191631654836</v>
      </c>
      <c r="H68" s="31">
        <v>3.2629058978231389</v>
      </c>
      <c r="I68" s="31">
        <v>2.863364888673948</v>
      </c>
      <c r="J68" s="31">
        <v>2.5125519210489058</v>
      </c>
      <c r="K68" s="31">
        <v>2.2073690229246639</v>
      </c>
      <c r="L68" s="31">
        <v>1.944636933412897</v>
      </c>
      <c r="M68" s="31">
        <v>1.7210951027603021</v>
      </c>
      <c r="N68" s="31">
        <v>1.533401692348586</v>
      </c>
      <c r="O68" s="31">
        <v>1.3781335746944929</v>
      </c>
      <c r="P68" s="31">
        <v>1.2517863334497741</v>
      </c>
      <c r="Q68" s="31">
        <v>1.150774263401199</v>
      </c>
      <c r="R68" s="31">
        <v>1.0714303704705661</v>
      </c>
      <c r="S68" s="31">
        <v>1.0100063717146821</v>
      </c>
      <c r="T68" s="31">
        <v>0.96267269532538668</v>
      </c>
      <c r="U68" s="31">
        <v>0.92551848062952535</v>
      </c>
      <c r="V68" s="31">
        <v>0.89455157808898167</v>
      </c>
      <c r="W68" s="31">
        <v>0.86569854930063506</v>
      </c>
      <c r="X68" s="31">
        <v>0.83480466699640865</v>
      </c>
      <c r="Y68" s="31">
        <v>0.79763391504322634</v>
      </c>
      <c r="Z68" s="31">
        <v>0.7498689884430404</v>
      </c>
      <c r="AA68" s="31">
        <v>0.68711129333282661</v>
      </c>
      <c r="AB68" s="31">
        <v>0.6048809469845714</v>
      </c>
      <c r="AC68" s="31">
        <v>0.49861677780529062</v>
      </c>
      <c r="AD68" s="31">
        <v>0.363676325337007</v>
      </c>
      <c r="AE68" s="31">
        <v>0.1953358402567745</v>
      </c>
      <c r="AF68" s="31">
        <v>-1.120971562333483E-2</v>
      </c>
      <c r="AG68" s="31">
        <v>-0.26084666935622652</v>
      </c>
      <c r="AH68" s="32">
        <v>-0.55854263685980676</v>
      </c>
    </row>
    <row r="69" spans="1:34" x14ac:dyDescent="0.25">
      <c r="A69" s="30">
        <v>5</v>
      </c>
      <c r="B69" s="31">
        <v>6.8938743213400304</v>
      </c>
      <c r="C69" s="31">
        <v>6.1357310455252589</v>
      </c>
      <c r="D69" s="31">
        <v>5.443674300426701</v>
      </c>
      <c r="E69" s="31">
        <v>4.8150738546132699</v>
      </c>
      <c r="F69" s="31">
        <v>4.2472181877888886</v>
      </c>
      <c r="G69" s="31">
        <v>3.7373144907925031</v>
      </c>
      <c r="H69" s="31">
        <v>3.2824886655980761</v>
      </c>
      <c r="I69" s="31">
        <v>2.879785325314594</v>
      </c>
      <c r="J69" s="31">
        <v>2.5261677941860601</v>
      </c>
      <c r="K69" s="31">
        <v>2.2185181075915019</v>
      </c>
      <c r="L69" s="31">
        <v>1.953637012044962</v>
      </c>
      <c r="M69" s="31">
        <v>1.7282439651955031</v>
      </c>
      <c r="N69" s="31">
        <v>1.5389771358272091</v>
      </c>
      <c r="O69" s="31">
        <v>1.3823934038591861</v>
      </c>
      <c r="P69" s="31">
        <v>1.254968360345553</v>
      </c>
      <c r="Q69" s="31">
        <v>1.153096307475457</v>
      </c>
      <c r="R69" s="31">
        <v>1.07309025857306</v>
      </c>
      <c r="S69" s="31">
        <v>1.0111819380975431</v>
      </c>
      <c r="T69" s="31">
        <v>0.96352178164311086</v>
      </c>
      <c r="U69" s="31">
        <v>0.92617893593897771</v>
      </c>
      <c r="V69" s="31">
        <v>0.89514125884939544</v>
      </c>
      <c r="W69" s="31">
        <v>0.86631531937361694</v>
      </c>
      <c r="X69" s="31">
        <v>0.83552639764593473</v>
      </c>
      <c r="Y69" s="31">
        <v>0.79851848493563449</v>
      </c>
      <c r="Z69" s="31">
        <v>0.75095428364705097</v>
      </c>
      <c r="AA69" s="31">
        <v>0.688415207319517</v>
      </c>
      <c r="AB69" s="31">
        <v>0.60640138062739735</v>
      </c>
      <c r="AC69" s="31">
        <v>0.50033163938006997</v>
      </c>
      <c r="AD69" s="31">
        <v>0.3655435305219274</v>
      </c>
      <c r="AE69" s="31">
        <v>0.19729331213240189</v>
      </c>
      <c r="AF69" s="31">
        <v>-9.2440465740777321E-3</v>
      </c>
      <c r="AG69" s="31">
        <v>-0.25897486524804242</v>
      </c>
      <c r="AH69" s="32">
        <v>-0.55688675240502228</v>
      </c>
    </row>
    <row r="70" spans="1:34" x14ac:dyDescent="0.25">
      <c r="A70" s="30">
        <v>10</v>
      </c>
      <c r="B70" s="31">
        <v>6.9416715205062616</v>
      </c>
      <c r="C70" s="31">
        <v>6.1777452590182156</v>
      </c>
      <c r="D70" s="31">
        <v>5.4803858261287512</v>
      </c>
      <c r="E70" s="31">
        <v>4.8469429978091432</v>
      </c>
      <c r="F70" s="31">
        <v>4.2746852611656987</v>
      </c>
      <c r="G70" s="31">
        <v>3.760799814439717</v>
      </c>
      <c r="H70" s="31">
        <v>3.3023925670075398</v>
      </c>
      <c r="I70" s="31">
        <v>2.896488139380522</v>
      </c>
      <c r="J70" s="31">
        <v>2.5400298632050342</v>
      </c>
      <c r="K70" s="31">
        <v>2.2298797812624751</v>
      </c>
      <c r="L70" s="31">
        <v>1.9628186474692531</v>
      </c>
      <c r="M70" s="31">
        <v>1.735545926876807</v>
      </c>
      <c r="N70" s="31">
        <v>1.5446797956715821</v>
      </c>
      <c r="O70" s="31">
        <v>1.386757141175057</v>
      </c>
      <c r="P70" s="31">
        <v>1.258233561843725</v>
      </c>
      <c r="Q70" s="31">
        <v>1.1554833672690901</v>
      </c>
      <c r="R70" s="31">
        <v>1.074799578177698</v>
      </c>
      <c r="S70" s="31">
        <v>1.0123939264310871</v>
      </c>
      <c r="T70" s="31">
        <v>0.96439685502583872</v>
      </c>
      <c r="U70" s="31">
        <v>0.92685751809353734</v>
      </c>
      <c r="V70" s="31">
        <v>0.89574378090079576</v>
      </c>
      <c r="W70" s="31">
        <v>0.86694221984924691</v>
      </c>
      <c r="X70" s="31">
        <v>0.83625812247553732</v>
      </c>
      <c r="Y70" s="31">
        <v>0.79941548745135016</v>
      </c>
      <c r="Z70" s="31">
        <v>0.7520570245833601</v>
      </c>
      <c r="AA70" s="31">
        <v>0.689744154813278</v>
      </c>
      <c r="AB70" s="31">
        <v>0.6079570102178441</v>
      </c>
      <c r="AC70" s="31">
        <v>0.50209443400880172</v>
      </c>
      <c r="AD70" s="31">
        <v>0.36747398053291919</v>
      </c>
      <c r="AE70" s="31">
        <v>0.1993319152719871</v>
      </c>
      <c r="AF70" s="31">
        <v>-7.1767851571839757E-3</v>
      </c>
      <c r="AG70" s="31">
        <v>-0.25697843300277162</v>
      </c>
      <c r="AH70" s="32">
        <v>-0.55508062937793501</v>
      </c>
    </row>
    <row r="71" spans="1:34" x14ac:dyDescent="0.25">
      <c r="A71" s="30">
        <v>15</v>
      </c>
      <c r="B71" s="31">
        <v>6.9900720776557952</v>
      </c>
      <c r="C71" s="31">
        <v>6.2203089421341806</v>
      </c>
      <c r="D71" s="31">
        <v>5.5175955077593004</v>
      </c>
      <c r="E71" s="31">
        <v>4.8792615579047931</v>
      </c>
      <c r="F71" s="31">
        <v>4.3025555870793273</v>
      </c>
      <c r="G71" s="31">
        <v>3.7846448009265812</v>
      </c>
      <c r="H71" s="31">
        <v>3.322615116225264</v>
      </c>
      <c r="I71" s="31">
        <v>2.913471160889094</v>
      </c>
      <c r="J71" s="31">
        <v>2.5541362739668179</v>
      </c>
      <c r="K71" s="31">
        <v>2.2414525056422012</v>
      </c>
      <c r="L71" s="31">
        <v>1.9721806172340199</v>
      </c>
      <c r="M71" s="31">
        <v>1.743000081196082</v>
      </c>
      <c r="N71" s="31">
        <v>1.550509081117206</v>
      </c>
      <c r="O71" s="31">
        <v>1.391224511721239</v>
      </c>
      <c r="P71" s="31">
        <v>1.2615819788670399</v>
      </c>
      <c r="Q71" s="31">
        <v>1.157935799548488</v>
      </c>
      <c r="R71" s="31">
        <v>1.0765590018944891</v>
      </c>
      <c r="S71" s="31">
        <v>1.0136433251689649</v>
      </c>
      <c r="T71" s="31">
        <v>0.96529921977085142</v>
      </c>
      <c r="U71" s="31">
        <v>0.92755584723410522</v>
      </c>
      <c r="V71" s="31">
        <v>0.8963610802277181</v>
      </c>
      <c r="W71" s="31">
        <v>0.86758150255568756</v>
      </c>
      <c r="X71" s="31">
        <v>0.83700240915702917</v>
      </c>
      <c r="Y71" s="31">
        <v>0.80032780610578591</v>
      </c>
      <c r="Z71" s="31">
        <v>0.75318041061101237</v>
      </c>
      <c r="AA71" s="31">
        <v>0.69110165101679244</v>
      </c>
      <c r="AB71" s="31">
        <v>0.60955166680222483</v>
      </c>
      <c r="AC71" s="31">
        <v>0.50390930858143279</v>
      </c>
      <c r="AD71" s="31">
        <v>0.36947213810353752</v>
      </c>
      <c r="AE71" s="31">
        <v>0.2014564282527225</v>
      </c>
      <c r="AF71" s="31">
        <v>-5.0028369518661832E-3</v>
      </c>
      <c r="AG71" s="31">
        <v>-0.25485196235599622</v>
      </c>
      <c r="AH71" s="32">
        <v>-0.55311854167047692</v>
      </c>
    </row>
    <row r="72" spans="1:34" x14ac:dyDescent="0.25">
      <c r="A72" s="30">
        <v>20</v>
      </c>
      <c r="B72" s="31">
        <v>7.0390715128518888</v>
      </c>
      <c r="C72" s="31">
        <v>6.2634179307800588</v>
      </c>
      <c r="D72" s="31">
        <v>5.55529949706888</v>
      </c>
      <c r="E72" s="31">
        <v>4.9120260024943718</v>
      </c>
      <c r="F72" s="31">
        <v>4.330825948967564</v>
      </c>
      <c r="G72" s="31">
        <v>3.8088465495345121</v>
      </c>
      <c r="H72" s="31">
        <v>3.343153728376286</v>
      </c>
      <c r="I72" s="31">
        <v>2.9307321208089809</v>
      </c>
      <c r="J72" s="31">
        <v>2.5684850732837088</v>
      </c>
      <c r="K72" s="31">
        <v>2.2532346433866048</v>
      </c>
      <c r="L72" s="31">
        <v>1.9817215998388169</v>
      </c>
      <c r="M72" s="31">
        <v>1.75060542249652</v>
      </c>
      <c r="N72" s="31">
        <v>1.5564643023508999</v>
      </c>
      <c r="O72" s="31">
        <v>1.395795141528178</v>
      </c>
      <c r="P72" s="31">
        <v>1.265013553289575</v>
      </c>
      <c r="Q72" s="31">
        <v>1.160453862031352</v>
      </c>
      <c r="R72" s="31">
        <v>1.078369103284774</v>
      </c>
      <c r="S72" s="31">
        <v>1.014931023716128</v>
      </c>
      <c r="T72" s="31">
        <v>0.9662300811267337</v>
      </c>
      <c r="U72" s="31">
        <v>0.92827544445291232</v>
      </c>
      <c r="V72" s="31">
        <v>0.89699499376601144</v>
      </c>
      <c r="W72" s="31">
        <v>0.86823532027241623</v>
      </c>
      <c r="X72" s="31">
        <v>0.8377617263134961</v>
      </c>
      <c r="Y72" s="31">
        <v>0.80125822536567692</v>
      </c>
      <c r="Z72" s="31">
        <v>0.75432754204037877</v>
      </c>
      <c r="AA72" s="31">
        <v>0.69249111208404202</v>
      </c>
      <c r="AB72" s="31">
        <v>0.61118908237815794</v>
      </c>
      <c r="AC72" s="31">
        <v>0.50578031093919573</v>
      </c>
      <c r="AD72" s="31">
        <v>0.37154236691866949</v>
      </c>
      <c r="AE72" s="31">
        <v>0.203671530603101</v>
      </c>
      <c r="AF72" s="31">
        <v>-2.7172065859586121E-3</v>
      </c>
      <c r="AG72" s="31">
        <v>-0.25259014209193248</v>
      </c>
      <c r="AH72" s="32">
        <v>-0.55099486222325023</v>
      </c>
    </row>
    <row r="73" spans="1:34" x14ac:dyDescent="0.25">
      <c r="A73" s="30">
        <v>25</v>
      </c>
      <c r="B73" s="31">
        <v>7.0886652471091232</v>
      </c>
      <c r="C73" s="31">
        <v>6.3070679618140453</v>
      </c>
      <c r="D73" s="31">
        <v>5.5934938467593174</v>
      </c>
      <c r="E73" s="31">
        <v>4.9452327001233334</v>
      </c>
      <c r="F73" s="31">
        <v>4.3594930312194959</v>
      </c>
      <c r="G73" s="31">
        <v>3.8334020604962191</v>
      </c>
      <c r="H73" s="31">
        <v>3.3640057195369542</v>
      </c>
      <c r="I73" s="31">
        <v>2.948268651060153</v>
      </c>
      <c r="J73" s="31">
        <v>2.5830742089193079</v>
      </c>
      <c r="K73" s="31">
        <v>2.2652244581029159</v>
      </c>
      <c r="L73" s="31">
        <v>1.991440174734501</v>
      </c>
      <c r="M73" s="31">
        <v>1.7583608460726019</v>
      </c>
      <c r="N73" s="31">
        <v>1.5625446705107771</v>
      </c>
      <c r="O73" s="31">
        <v>1.4004685575776139</v>
      </c>
      <c r="P73" s="31">
        <v>1.268528127936708</v>
      </c>
      <c r="Q73" s="31">
        <v>1.1630377133866769</v>
      </c>
      <c r="R73" s="31">
        <v>1.0802303568611711</v>
      </c>
      <c r="S73" s="31">
        <v>1.0162578124288391</v>
      </c>
      <c r="T73" s="31">
        <v>0.96719054529337178</v>
      </c>
      <c r="U73" s="31">
        <v>0.92901773179345515</v>
      </c>
      <c r="V73" s="31">
        <v>0.89764725940281676</v>
      </c>
      <c r="W73" s="31">
        <v>0.86890572673019606</v>
      </c>
      <c r="X73" s="31">
        <v>0.83853844351934781</v>
      </c>
      <c r="Y73" s="31">
        <v>0.80220943064905326</v>
      </c>
      <c r="Z73" s="31">
        <v>0.75550142013310417</v>
      </c>
      <c r="AA73" s="31">
        <v>0.69391585512032505</v>
      </c>
      <c r="AB73" s="31">
        <v>0.61287288989455646</v>
      </c>
      <c r="AC73" s="31">
        <v>0.50771138987464304</v>
      </c>
      <c r="AD73" s="31">
        <v>0.37368893161447392</v>
      </c>
      <c r="AE73" s="31">
        <v>0.20598180280294009</v>
      </c>
      <c r="AF73" s="31">
        <v>-3.1499773603990439E-4</v>
      </c>
      <c r="AG73" s="31">
        <v>-0.25018776004352711</v>
      </c>
      <c r="AH73" s="32">
        <v>-0.54870406302556585</v>
      </c>
    </row>
    <row r="74" spans="1:34" x14ac:dyDescent="0.25">
      <c r="A74" s="30">
        <v>30</v>
      </c>
      <c r="B74" s="31">
        <v>7.1388486023933782</v>
      </c>
      <c r="C74" s="31">
        <v>6.3512546730456476</v>
      </c>
      <c r="D74" s="31">
        <v>5.6321745104837522</v>
      </c>
      <c r="E74" s="31">
        <v>4.9788779202884497</v>
      </c>
      <c r="F74" s="31">
        <v>4.3885534191755147</v>
      </c>
      <c r="G74" s="31">
        <v>3.8583082349957292</v>
      </c>
      <c r="H74" s="31">
        <v>3.3851683067349132</v>
      </c>
      <c r="I74" s="31">
        <v>2.966078284513892</v>
      </c>
      <c r="J74" s="31">
        <v>2.5979015295885231</v>
      </c>
      <c r="K74" s="31">
        <v>2.2774201143496748</v>
      </c>
      <c r="L74" s="31">
        <v>2.001334822323237</v>
      </c>
      <c r="M74" s="31">
        <v>1.766265148170123</v>
      </c>
      <c r="N74" s="31">
        <v>1.568749297686258</v>
      </c>
      <c r="O74" s="31">
        <v>1.405244187802595</v>
      </c>
      <c r="P74" s="31">
        <v>1.2721254465851071</v>
      </c>
      <c r="Q74" s="31">
        <v>1.165687413234779</v>
      </c>
      <c r="R74" s="31">
        <v>1.082143138087625</v>
      </c>
      <c r="S74" s="31">
        <v>1.0176243826146689</v>
      </c>
      <c r="T74" s="31">
        <v>0.96818161942196534</v>
      </c>
      <c r="U74" s="31">
        <v>0.9297840322505676</v>
      </c>
      <c r="V74" s="31">
        <v>0.89831951597658177</v>
      </c>
      <c r="W74" s="31">
        <v>0.86959467661111334</v>
      </c>
      <c r="X74" s="31">
        <v>0.83933483130028375</v>
      </c>
      <c r="Y74" s="31">
        <v>0.80318400832524983</v>
      </c>
      <c r="Z74" s="31">
        <v>0.75670494710216485</v>
      </c>
      <c r="AA74" s="31">
        <v>0.69537909818222587</v>
      </c>
      <c r="AB74" s="31">
        <v>0.61460662325163273</v>
      </c>
      <c r="AC74" s="31">
        <v>0.50970639513163007</v>
      </c>
      <c r="AD74" s="31">
        <v>0.37591599777843138</v>
      </c>
      <c r="AE74" s="31">
        <v>0.20839172628333641</v>
      </c>
      <c r="AF74" s="31">
        <v>2.2085868726203061E-3</v>
      </c>
      <c r="AG74" s="31">
        <v>-0.24763970309241759</v>
      </c>
      <c r="AH74" s="32">
        <v>-0.54624071511546124</v>
      </c>
    </row>
    <row r="75" spans="1:34" x14ac:dyDescent="0.25">
      <c r="A75" s="30">
        <v>35</v>
      </c>
      <c r="B75" s="31">
        <v>7.1896168016218294</v>
      </c>
      <c r="C75" s="31">
        <v>6.3959736032356762</v>
      </c>
      <c r="D75" s="31">
        <v>5.6713373428466181</v>
      </c>
      <c r="E75" s="31">
        <v>5.0129578334377856</v>
      </c>
      <c r="F75" s="31">
        <v>4.4180035991273154</v>
      </c>
      <c r="G75" s="31">
        <v>3.8835618751683629</v>
      </c>
      <c r="H75" s="31">
        <v>3.4066386079491222</v>
      </c>
      <c r="I75" s="31">
        <v>2.984158454992782</v>
      </c>
      <c r="J75" s="31">
        <v>2.612964784957569</v>
      </c>
      <c r="K75" s="31">
        <v>2.2898196776367201</v>
      </c>
      <c r="L75" s="31">
        <v>2.0114039239585</v>
      </c>
      <c r="M75" s="31">
        <v>1.7743170259861849</v>
      </c>
      <c r="N75" s="31">
        <v>1.575077196918073</v>
      </c>
      <c r="O75" s="31">
        <v>1.410121361087487</v>
      </c>
      <c r="P75" s="31">
        <v>1.2758051539627691</v>
      </c>
      <c r="Q75" s="31">
        <v>1.1684029221472729</v>
      </c>
      <c r="R75" s="31">
        <v>1.0841077233793761</v>
      </c>
      <c r="S75" s="31">
        <v>1.019031326532482</v>
      </c>
      <c r="T75" s="31">
        <v>0.96920421161500725</v>
      </c>
      <c r="U75" s="31">
        <v>0.93057556977038347</v>
      </c>
      <c r="V75" s="31">
        <v>0.89901330327707607</v>
      </c>
      <c r="W75" s="31">
        <v>0.87030402554856079</v>
      </c>
      <c r="X75" s="31">
        <v>0.84015306113333477</v>
      </c>
      <c r="Y75" s="31">
        <v>0.80418444571491143</v>
      </c>
      <c r="Z75" s="31">
        <v>0.75794092611183206</v>
      </c>
      <c r="AA75" s="31">
        <v>0.69688396027764732</v>
      </c>
      <c r="AB75" s="31">
        <v>0.61639371730094528</v>
      </c>
      <c r="AC75" s="31">
        <v>0.51176907740531152</v>
      </c>
      <c r="AD75" s="31">
        <v>0.37822763194935771</v>
      </c>
      <c r="AE75" s="31">
        <v>0.21090568342672891</v>
      </c>
      <c r="AF75" s="31">
        <v>4.8582454660790848E-3</v>
      </c>
      <c r="AG75" s="31">
        <v>-0.24494095716891451</v>
      </c>
      <c r="AH75" s="32">
        <v>-0.54359948857956819</v>
      </c>
    </row>
    <row r="76" spans="1:34" x14ac:dyDescent="0.25">
      <c r="A76" s="30">
        <v>40</v>
      </c>
      <c r="B76" s="31">
        <v>7.2409649686629747</v>
      </c>
      <c r="C76" s="31">
        <v>6.4412201920962566</v>
      </c>
      <c r="D76" s="31">
        <v>5.7109780994036718</v>
      </c>
      <c r="E76" s="31">
        <v>5.0474685109707202</v>
      </c>
      <c r="F76" s="31">
        <v>4.4478399583179096</v>
      </c>
      <c r="G76" s="31">
        <v>3.9091596841007652</v>
      </c>
      <c r="H76" s="31">
        <v>3.4284136421098448</v>
      </c>
      <c r="I76" s="31">
        <v>3.0025064972707138</v>
      </c>
      <c r="J76" s="31">
        <v>2.628261625643963</v>
      </c>
      <c r="K76" s="31">
        <v>2.3024211144252029</v>
      </c>
      <c r="L76" s="31">
        <v>2.021645761945063</v>
      </c>
      <c r="M76" s="31">
        <v>1.782515077669194</v>
      </c>
      <c r="N76" s="31">
        <v>1.5815272821982569</v>
      </c>
      <c r="O76" s="31">
        <v>1.415099307267951</v>
      </c>
      <c r="P76" s="31">
        <v>1.279566795748982</v>
      </c>
      <c r="Q76" s="31">
        <v>1.171184101647073</v>
      </c>
      <c r="R76" s="31">
        <v>1.086124290102976</v>
      </c>
      <c r="S76" s="31">
        <v>1.020479137392458</v>
      </c>
      <c r="T76" s="31">
        <v>0.97025913092630467</v>
      </c>
      <c r="U76" s="31">
        <v>0.93139346925032795</v>
      </c>
      <c r="V76" s="31">
        <v>0.89973006204534967</v>
      </c>
      <c r="W76" s="31">
        <v>0.87103553012721713</v>
      </c>
      <c r="X76" s="31">
        <v>0.84099520544680328</v>
      </c>
      <c r="Y76" s="31">
        <v>0.80521313108998882</v>
      </c>
      <c r="Z76" s="31">
        <v>0.75921206127767804</v>
      </c>
      <c r="AA76" s="31">
        <v>0.69843346136580242</v>
      </c>
      <c r="AB76" s="31">
        <v>0.61823750784529974</v>
      </c>
      <c r="AC76" s="31">
        <v>0.51390308834214349</v>
      </c>
      <c r="AD76" s="31">
        <v>0.3806278016173118</v>
      </c>
      <c r="AE76" s="31">
        <v>0.21352795756681969</v>
      </c>
      <c r="AF76" s="31">
        <v>7.638577221677649E-3</v>
      </c>
      <c r="AG76" s="31">
        <v>-0.24208660725205899</v>
      </c>
      <c r="AH76" s="32">
        <v>-0.5407751525533353</v>
      </c>
    </row>
    <row r="77" spans="1:34" x14ac:dyDescent="0.25">
      <c r="A77" s="30">
        <v>45</v>
      </c>
      <c r="B77" s="31">
        <v>7.292888128336604</v>
      </c>
      <c r="C77" s="31">
        <v>6.4869897802908048</v>
      </c>
      <c r="D77" s="31">
        <v>5.7510924366619633</v>
      </c>
      <c r="E77" s="31">
        <v>5.0824059252379374</v>
      </c>
      <c r="F77" s="31">
        <v>4.4780587849416049</v>
      </c>
      <c r="G77" s="31">
        <v>3.9350982658308702</v>
      </c>
      <c r="H77" s="31">
        <v>3.4504903290986522</v>
      </c>
      <c r="I77" s="31">
        <v>3.0211196470728852</v>
      </c>
      <c r="J77" s="31">
        <v>2.643789603216534</v>
      </c>
      <c r="K77" s="31">
        <v>2.3152222921275789</v>
      </c>
      <c r="L77" s="31">
        <v>2.0320585195390151</v>
      </c>
      <c r="M77" s="31">
        <v>1.7908578023188619</v>
      </c>
      <c r="N77" s="31">
        <v>1.5880983684701551</v>
      </c>
      <c r="O77" s="31">
        <v>1.420177157130956</v>
      </c>
      <c r="P77" s="31">
        <v>1.283409818574343</v>
      </c>
      <c r="Q77" s="31">
        <v>1.174030714208413</v>
      </c>
      <c r="R77" s="31">
        <v>1.0881929165762829</v>
      </c>
      <c r="S77" s="31">
        <v>1.0219682093560849</v>
      </c>
      <c r="T77" s="31">
        <v>0.97134708736098652</v>
      </c>
      <c r="U77" s="31">
        <v>0.93223875653915345</v>
      </c>
      <c r="V77" s="31">
        <v>0.90047113397378409</v>
      </c>
      <c r="W77" s="31">
        <v>0.87179084788310002</v>
      </c>
      <c r="X77" s="31">
        <v>0.84186323762033322</v>
      </c>
      <c r="Y77" s="31">
        <v>0.80627235367374261</v>
      </c>
      <c r="Z77" s="31">
        <v>0.76052095766660166</v>
      </c>
      <c r="AA77" s="31">
        <v>0.70003052235720287</v>
      </c>
      <c r="AB77" s="31">
        <v>0.62014123163886581</v>
      </c>
      <c r="AC77" s="31">
        <v>0.51611198053992002</v>
      </c>
      <c r="AD77" s="31">
        <v>0.38312037522371689</v>
      </c>
      <c r="AE77" s="31">
        <v>0.2162627329886409</v>
      </c>
      <c r="AF77" s="31">
        <v>1.055408226808387E-2</v>
      </c>
      <c r="AG77" s="31">
        <v>-0.23907183736954349</v>
      </c>
      <c r="AH77" s="32">
        <v>-0.53776257522081572</v>
      </c>
    </row>
    <row r="78" spans="1:34" x14ac:dyDescent="0.25">
      <c r="A78" s="30">
        <v>50</v>
      </c>
      <c r="B78" s="31">
        <v>7.3453812064138324</v>
      </c>
      <c r="C78" s="31">
        <v>6.5332776094340641</v>
      </c>
      <c r="D78" s="31">
        <v>5.791675912079854</v>
      </c>
      <c r="E78" s="31">
        <v>5.1177659495414218</v>
      </c>
      <c r="F78" s="31">
        <v>4.5086562681440228</v>
      </c>
      <c r="G78" s="31">
        <v>3.9613741253479229</v>
      </c>
      <c r="H78" s="31">
        <v>3.4728654897484161</v>
      </c>
      <c r="I78" s="31">
        <v>3.039995041075803</v>
      </c>
      <c r="J78" s="31">
        <v>2.6595461701954162</v>
      </c>
      <c r="K78" s="31">
        <v>2.3282209791076101</v>
      </c>
      <c r="L78" s="31">
        <v>2.0426402809477429</v>
      </c>
      <c r="M78" s="31">
        <v>1.799343599986208</v>
      </c>
      <c r="N78" s="31">
        <v>1.5947891716284091</v>
      </c>
      <c r="O78" s="31">
        <v>1.4253539424147781</v>
      </c>
      <c r="P78" s="31">
        <v>1.287333570020762</v>
      </c>
      <c r="Q78" s="31">
        <v>1.176942423256822</v>
      </c>
      <c r="R78" s="31">
        <v>1.09031358206845</v>
      </c>
      <c r="S78" s="31">
        <v>1.023498837536152</v>
      </c>
      <c r="T78" s="31">
        <v>0.97246869187545637</v>
      </c>
      <c r="U78" s="31">
        <v>0.93311235843689788</v>
      </c>
      <c r="V78" s="31">
        <v>0.9012377617060523</v>
      </c>
      <c r="W78" s="31">
        <v>0.87257153730350423</v>
      </c>
      <c r="X78" s="31">
        <v>0.84275903198485569</v>
      </c>
      <c r="Y78" s="31">
        <v>0.80736430364073897</v>
      </c>
      <c r="Z78" s="31">
        <v>0.76187012129678244</v>
      </c>
      <c r="AA78" s="31">
        <v>0.70167796511366531</v>
      </c>
      <c r="AB78" s="31">
        <v>0.62210802638707385</v>
      </c>
      <c r="AC78" s="31">
        <v>0.51839920754769686</v>
      </c>
      <c r="AD78" s="31">
        <v>0.38570912216127512</v>
      </c>
      <c r="AE78" s="31">
        <v>0.21911409492854439</v>
      </c>
      <c r="AF78" s="31">
        <v>1.360916168525343E-2</v>
      </c>
      <c r="AG78" s="31">
        <v>-0.23589193059778779</v>
      </c>
      <c r="AH78" s="32">
        <v>-0.5345567238147968</v>
      </c>
    </row>
    <row r="79" spans="1:34" x14ac:dyDescent="0.25">
      <c r="A79" s="30">
        <v>55</v>
      </c>
      <c r="B79" s="31">
        <v>7.3984390296170552</v>
      </c>
      <c r="C79" s="31">
        <v>6.5800788220920658</v>
      </c>
      <c r="D79" s="31">
        <v>5.8327239840670044</v>
      </c>
      <c r="E79" s="31">
        <v>5.1535443581344706</v>
      </c>
      <c r="F79" s="31">
        <v>4.5396284980220809</v>
      </c>
      <c r="G79" s="31">
        <v>3.987983668592475</v>
      </c>
      <c r="H79" s="31">
        <v>3.495535845843313</v>
      </c>
      <c r="I79" s="31">
        <v>3.05912971690727</v>
      </c>
      <c r="J79" s="31">
        <v>2.6755286800520408</v>
      </c>
      <c r="K79" s="31">
        <v>2.341414844680354</v>
      </c>
      <c r="L79" s="31">
        <v>2.0533890313299361</v>
      </c>
      <c r="M79" s="31">
        <v>1.8079707716735529</v>
      </c>
      <c r="N79" s="31">
        <v>1.60159830851897</v>
      </c>
      <c r="O79" s="31">
        <v>1.430628595808995</v>
      </c>
      <c r="P79" s="31">
        <v>1.291337298621438</v>
      </c>
      <c r="Q79" s="31">
        <v>1.1799187931691359</v>
      </c>
      <c r="R79" s="31">
        <v>1.0924861667999539</v>
      </c>
      <c r="S79" s="31">
        <v>1.0250712179967549</v>
      </c>
      <c r="T79" s="31">
        <v>0.97362445637744055</v>
      </c>
      <c r="U79" s="31">
        <v>0.9340151026949185</v>
      </c>
      <c r="V79" s="31">
        <v>0.90203108883713579</v>
      </c>
      <c r="W79" s="31">
        <v>0.87337905782703973</v>
      </c>
      <c r="X79" s="31">
        <v>0.84368436382260636</v>
      </c>
      <c r="Y79" s="31">
        <v>0.80849107211682991</v>
      </c>
      <c r="Z79" s="31">
        <v>0.76326195913772388</v>
      </c>
      <c r="AA79" s="31">
        <v>0.70337851244831762</v>
      </c>
      <c r="AB79" s="31">
        <v>0.62414093074668497</v>
      </c>
      <c r="AC79" s="31">
        <v>0.52076812386587068</v>
      </c>
      <c r="AD79" s="31">
        <v>0.38839771277397961</v>
      </c>
      <c r="AE79" s="31">
        <v>0.22208602957413079</v>
      </c>
      <c r="AF79" s="31">
        <v>1.6808117504447249E-2</v>
      </c>
      <c r="AG79" s="31">
        <v>-0.2325422690619022</v>
      </c>
      <c r="AH79" s="32">
        <v>-0.53115266461676758</v>
      </c>
    </row>
    <row r="80" spans="1:34" x14ac:dyDescent="0.25">
      <c r="A80" s="30">
        <v>60</v>
      </c>
      <c r="B80" s="31">
        <v>7.4520563256199877</v>
      </c>
      <c r="C80" s="31">
        <v>6.627388461782151</v>
      </c>
      <c r="D80" s="31">
        <v>5.8742320119843914</v>
      </c>
      <c r="E80" s="31">
        <v>5.1897368262216839</v>
      </c>
      <c r="F80" s="31">
        <v>4.5709714656240124</v>
      </c>
      <c r="G80" s="31">
        <v>4.0149232024563863</v>
      </c>
      <c r="H80" s="31">
        <v>3.5184980201188369</v>
      </c>
      <c r="I80" s="31">
        <v>3.0785206131464049</v>
      </c>
      <c r="J80" s="31">
        <v>2.691734387209161</v>
      </c>
      <c r="K80" s="31">
        <v>2.3548014591121951</v>
      </c>
      <c r="L80" s="31">
        <v>2.0643026567956082</v>
      </c>
      <c r="M80" s="31">
        <v>1.816737519334529</v>
      </c>
      <c r="N80" s="31">
        <v>1.6085242969391</v>
      </c>
      <c r="O80" s="31">
        <v>1.435999950954497</v>
      </c>
      <c r="P80" s="31">
        <v>1.295420153860898</v>
      </c>
      <c r="Q80" s="31">
        <v>1.182959289273511</v>
      </c>
      <c r="R80" s="31">
        <v>1.0947104519425599</v>
      </c>
      <c r="S80" s="31">
        <v>1.0266854477532921</v>
      </c>
      <c r="T80" s="31">
        <v>0.97481479372597024</v>
      </c>
      <c r="U80" s="31">
        <v>0.93494771801587839</v>
      </c>
      <c r="V80" s="31">
        <v>0.90285215991331957</v>
      </c>
      <c r="W80" s="31">
        <v>0.87421476984362612</v>
      </c>
      <c r="X80" s="31">
        <v>0.84464090936712499</v>
      </c>
      <c r="Y80" s="31">
        <v>0.80965465117920155</v>
      </c>
      <c r="Z80" s="31">
        <v>0.76469877911022466</v>
      </c>
      <c r="AA80" s="31">
        <v>0.70513478812560137</v>
      </c>
      <c r="AB80" s="31">
        <v>0.62624288432575259</v>
      </c>
      <c r="AC80" s="31">
        <v>0.52322198494612415</v>
      </c>
      <c r="AD80" s="31">
        <v>0.39118971835717348</v>
      </c>
      <c r="AE80" s="31">
        <v>0.22518242406438749</v>
      </c>
      <c r="AF80" s="31">
        <v>2.015515270826379E-2</v>
      </c>
      <c r="AG80" s="31">
        <v>-0.22901833393567719</v>
      </c>
      <c r="AH80" s="32">
        <v>-0.52754556295688293</v>
      </c>
    </row>
    <row r="81" spans="1:34" x14ac:dyDescent="0.25">
      <c r="A81" s="30">
        <v>65</v>
      </c>
      <c r="B81" s="31">
        <v>7.5062277230476573</v>
      </c>
      <c r="C81" s="31">
        <v>6.6752014729729687</v>
      </c>
      <c r="D81" s="31">
        <v>5.9161952561442899</v>
      </c>
      <c r="E81" s="31">
        <v>5.2263389299589669</v>
      </c>
      <c r="F81" s="31">
        <v>4.602681062949352</v>
      </c>
      <c r="G81" s="31">
        <v>4.0421889347828213</v>
      </c>
      <c r="H81" s="31">
        <v>3.541748536261776</v>
      </c>
      <c r="I81" s="31">
        <v>3.0981645693236279</v>
      </c>
      <c r="J81" s="31">
        <v>2.708160447040818</v>
      </c>
      <c r="K81" s="31">
        <v>2.3683782936208022</v>
      </c>
      <c r="L81" s="31">
        <v>2.0753789444060531</v>
      </c>
      <c r="M81" s="31">
        <v>1.8256419458740689</v>
      </c>
      <c r="N81" s="31">
        <v>1.615565555637362</v>
      </c>
      <c r="O81" s="31">
        <v>1.4414667424434751</v>
      </c>
      <c r="P81" s="31">
        <v>1.2995811861749591</v>
      </c>
      <c r="Q81" s="31">
        <v>1.186063277849386</v>
      </c>
      <c r="R81" s="31">
        <v>1.096986119619354</v>
      </c>
      <c r="S81" s="31">
        <v>1.0283415247724741</v>
      </c>
      <c r="T81" s="31">
        <v>0.97604001773138538</v>
      </c>
      <c r="U81" s="31">
        <v>0.93591083405373376</v>
      </c>
      <c r="V81" s="31">
        <v>0.90370192043220288</v>
      </c>
      <c r="W81" s="31">
        <v>0.8750799346944782</v>
      </c>
      <c r="X81" s="31">
        <v>0.8456302458032755</v>
      </c>
      <c r="Y81" s="31">
        <v>0.81085693385633384</v>
      </c>
      <c r="Z81" s="31">
        <v>0.7661827900863899</v>
      </c>
      <c r="AA81" s="31">
        <v>0.70694931686122864</v>
      </c>
      <c r="AB81" s="31">
        <v>0.62841672768364909</v>
      </c>
      <c r="AC81" s="31">
        <v>0.52576394719144481</v>
      </c>
      <c r="AD81" s="31">
        <v>0.39408861115745708</v>
      </c>
      <c r="AE81" s="31">
        <v>0.2284070664895364</v>
      </c>
      <c r="AF81" s="31">
        <v>2.3654371230557091E-2</v>
      </c>
      <c r="AG81" s="31">
        <v>-0.2253157054415951</v>
      </c>
      <c r="AH81" s="32">
        <v>-0.52373068321400318</v>
      </c>
    </row>
    <row r="82" spans="1:34" x14ac:dyDescent="0.25">
      <c r="A82" s="30">
        <v>70</v>
      </c>
      <c r="B82" s="31">
        <v>7.560947751476391</v>
      </c>
      <c r="C82" s="31">
        <v>6.7235127010844762</v>
      </c>
      <c r="D82" s="31">
        <v>5.9586088778102901</v>
      </c>
      <c r="E82" s="31">
        <v>5.2633461464535332</v>
      </c>
      <c r="F82" s="31">
        <v>4.6347530829489392</v>
      </c>
      <c r="G82" s="31">
        <v>4.0697769743662473</v>
      </c>
      <c r="H82" s="31">
        <v>3.5652838189102289</v>
      </c>
      <c r="I82" s="31">
        <v>3.11805832592067</v>
      </c>
      <c r="J82" s="31">
        <v>2.7248039158723718</v>
      </c>
      <c r="K82" s="31">
        <v>2.3821427203751671</v>
      </c>
      <c r="L82" s="31">
        <v>2.0866155821738919</v>
      </c>
      <c r="M82" s="31">
        <v>1.834682055148422</v>
      </c>
      <c r="N82" s="31">
        <v>1.622720404313631</v>
      </c>
      <c r="O82" s="31">
        <v>1.4470276058194349</v>
      </c>
      <c r="P82" s="31">
        <v>1.30381934695075</v>
      </c>
      <c r="Q82" s="31">
        <v>1.189230026127521</v>
      </c>
      <c r="R82" s="31">
        <v>1.0993127529047191</v>
      </c>
      <c r="S82" s="31">
        <v>1.030039347972318</v>
      </c>
      <c r="T82" s="31">
        <v>0.97730034315532976</v>
      </c>
      <c r="U82" s="31">
        <v>0.93690498141376743</v>
      </c>
      <c r="V82" s="31">
        <v>0.90458121684268766</v>
      </c>
      <c r="W82" s="31">
        <v>0.87597571467213586</v>
      </c>
      <c r="X82" s="31">
        <v>0.84665385126721027</v>
      </c>
      <c r="Y82" s="31">
        <v>0.81209971412800996</v>
      </c>
      <c r="Z82" s="31">
        <v>0.76771610188965045</v>
      </c>
      <c r="AA82" s="31">
        <v>0.70882452432227616</v>
      </c>
      <c r="AB82" s="31">
        <v>0.63066520233104584</v>
      </c>
      <c r="AC82" s="31">
        <v>0.52839706795615615</v>
      </c>
      <c r="AD82" s="31">
        <v>0.39709776437278071</v>
      </c>
      <c r="AE82" s="31">
        <v>0.2317636458911583</v>
      </c>
      <c r="AF82" s="31">
        <v>2.730977795653991E-2</v>
      </c>
      <c r="AG82" s="31">
        <v>-0.22143006285083541</v>
      </c>
      <c r="AH82" s="32">
        <v>-0.5197033888156799</v>
      </c>
    </row>
    <row r="83" spans="1:34" x14ac:dyDescent="0.25">
      <c r="A83" s="30">
        <v>75</v>
      </c>
      <c r="B83" s="31">
        <v>7.6162108414338121</v>
      </c>
      <c r="C83" s="31">
        <v>6.7723168924879351</v>
      </c>
      <c r="D83" s="31">
        <v>6.001467939197271</v>
      </c>
      <c r="E83" s="31">
        <v>5.3007538537639043</v>
      </c>
      <c r="F83" s="31">
        <v>4.6671832195249214</v>
      </c>
      <c r="G83" s="31">
        <v>4.0976833309524396</v>
      </c>
      <c r="H83" s="31">
        <v>3.589100193653604</v>
      </c>
      <c r="I83" s="31">
        <v>3.1381985243705581</v>
      </c>
      <c r="J83" s="31">
        <v>2.7416617509804841</v>
      </c>
      <c r="K83" s="31">
        <v>2.3960920124955751</v>
      </c>
      <c r="L83" s="31">
        <v>2.0980101590630462</v>
      </c>
      <c r="M83" s="31">
        <v>1.84385575196513</v>
      </c>
      <c r="N83" s="31">
        <v>1.629987063619079</v>
      </c>
      <c r="O83" s="31">
        <v>1.4526810775771759</v>
      </c>
      <c r="P83" s="31">
        <v>1.3081334885267051</v>
      </c>
      <c r="Q83" s="31">
        <v>1.192458702289984</v>
      </c>
      <c r="R83" s="31">
        <v>1.101689835824345</v>
      </c>
      <c r="S83" s="31">
        <v>1.031778717222144</v>
      </c>
      <c r="T83" s="31">
        <v>0.97859588571074985</v>
      </c>
      <c r="U83" s="31">
        <v>0.93793059165254999</v>
      </c>
      <c r="V83" s="31">
        <v>0.905490796544972</v>
      </c>
      <c r="W83" s="31">
        <v>0.87690317302043419</v>
      </c>
      <c r="X83" s="31">
        <v>0.84771310484639428</v>
      </c>
      <c r="Y83" s="31">
        <v>0.81338468692532273</v>
      </c>
      <c r="Z83" s="31">
        <v>0.7693007252947125</v>
      </c>
      <c r="AA83" s="31">
        <v>0.71076273712706595</v>
      </c>
      <c r="AB83" s="31">
        <v>0.63299095072992906</v>
      </c>
      <c r="AC83" s="31">
        <v>0.53112430554584134</v>
      </c>
      <c r="AD83" s="31">
        <v>0.40022045215237512</v>
      </c>
      <c r="AE83" s="31">
        <v>0.23525575226211801</v>
      </c>
      <c r="AF83" s="31">
        <v>3.1125278722684391E-2</v>
      </c>
      <c r="AG83" s="31">
        <v>-0.21735718448329769</v>
      </c>
      <c r="AH83" s="32">
        <v>-0.51545914223818379</v>
      </c>
    </row>
    <row r="84" spans="1:34" x14ac:dyDescent="0.25">
      <c r="A84" s="33">
        <v>80</v>
      </c>
      <c r="B84" s="34">
        <v>7.6720113243988663</v>
      </c>
      <c r="C84" s="34">
        <v>6.8216086945059153</v>
      </c>
      <c r="D84" s="34">
        <v>6.0447674034714414</v>
      </c>
      <c r="E84" s="34">
        <v>5.3385573308998966</v>
      </c>
      <c r="F84" s="34">
        <v>4.6999670675307552</v>
      </c>
      <c r="G84" s="34">
        <v>4.1259039152384869</v>
      </c>
      <c r="H84" s="34">
        <v>3.6131938870326081</v>
      </c>
      <c r="I84" s="34">
        <v>3.1585817070576381</v>
      </c>
      <c r="J84" s="34">
        <v>2.7587308105931219</v>
      </c>
      <c r="K84" s="34">
        <v>2.4102233440536258</v>
      </c>
      <c r="L84" s="34">
        <v>2.1095601649887339</v>
      </c>
      <c r="M84" s="34">
        <v>1.853160842083049</v>
      </c>
      <c r="N84" s="34">
        <v>1.6373636551561901</v>
      </c>
      <c r="O84" s="34">
        <v>1.4584255951628109</v>
      </c>
      <c r="P84" s="34">
        <v>1.312522364192561</v>
      </c>
      <c r="Q84" s="34">
        <v>1.195748375470135</v>
      </c>
      <c r="R84" s="34">
        <v>1.1041167533552321</v>
      </c>
      <c r="S84" s="34">
        <v>1.0335593333425721</v>
      </c>
      <c r="T84" s="34">
        <v>0.97992666206190138</v>
      </c>
      <c r="U84" s="34">
        <v>0.938987997277969</v>
      </c>
      <c r="V84" s="34">
        <v>0.90643130789057247</v>
      </c>
      <c r="W84" s="34">
        <v>0.87786327393450714</v>
      </c>
      <c r="X84" s="34">
        <v>0.84880928657959043</v>
      </c>
      <c r="Y84" s="34">
        <v>0.8147134481306697</v>
      </c>
      <c r="Z84" s="34">
        <v>0.77093857202760141</v>
      </c>
      <c r="AA84" s="34">
        <v>0.71276618284526649</v>
      </c>
      <c r="AB84" s="34">
        <v>0.63539651629357241</v>
      </c>
      <c r="AC84" s="34">
        <v>0.5339485192174217</v>
      </c>
      <c r="AD84" s="34">
        <v>0.40345984959677128</v>
      </c>
      <c r="AE84" s="34">
        <v>0.23888687654656779</v>
      </c>
      <c r="AF84" s="34">
        <v>3.5104680316799843E-2</v>
      </c>
      <c r="AG84" s="34">
        <v>-0.21309294770753701</v>
      </c>
      <c r="AH84" s="35">
        <v>-0.51099350500642693</v>
      </c>
    </row>
    <row r="87" spans="1:34" ht="28.9" customHeight="1" x14ac:dyDescent="0.5">
      <c r="A87" s="1" t="s">
        <v>32</v>
      </c>
    </row>
    <row r="88" spans="1:34" ht="32.1" customHeight="1" x14ac:dyDescent="0.25"/>
    <row r="89" spans="1:34" x14ac:dyDescent="0.25">
      <c r="A89" s="2"/>
      <c r="B89" s="3"/>
      <c r="C89" s="3"/>
      <c r="D89" s="4"/>
    </row>
    <row r="90" spans="1:34" x14ac:dyDescent="0.25">
      <c r="A90" s="5" t="s">
        <v>33</v>
      </c>
      <c r="B90" s="6">
        <v>1.875</v>
      </c>
      <c r="C90" s="6" t="s">
        <v>13</v>
      </c>
      <c r="D90" s="7"/>
    </row>
    <row r="91" spans="1:34" x14ac:dyDescent="0.25">
      <c r="A91" s="8"/>
      <c r="B91" s="9"/>
      <c r="C91" s="9"/>
      <c r="D91" s="10"/>
    </row>
    <row r="94" spans="1:34" ht="48" customHeight="1" x14ac:dyDescent="0.25">
      <c r="A94" s="21" t="s">
        <v>34</v>
      </c>
      <c r="B94" s="23" t="s">
        <v>35</v>
      </c>
    </row>
    <row r="95" spans="1:34" x14ac:dyDescent="0.25">
      <c r="A95" s="5">
        <v>0</v>
      </c>
      <c r="B95" s="32">
        <v>0.31000000000000011</v>
      </c>
    </row>
    <row r="96" spans="1:34" x14ac:dyDescent="0.25">
      <c r="A96" s="5">
        <v>0.125</v>
      </c>
      <c r="B96" s="32">
        <v>0.33796666666666669</v>
      </c>
    </row>
    <row r="97" spans="1:2" x14ac:dyDescent="0.25">
      <c r="A97" s="5">
        <v>0.25</v>
      </c>
      <c r="B97" s="32">
        <v>0.26827777777777778</v>
      </c>
    </row>
    <row r="98" spans="1:2" x14ac:dyDescent="0.25">
      <c r="A98" s="5">
        <v>0.375</v>
      </c>
      <c r="B98" s="32">
        <v>0.17423250000000001</v>
      </c>
    </row>
    <row r="99" spans="1:2" x14ac:dyDescent="0.25">
      <c r="A99" s="5">
        <v>0.5</v>
      </c>
      <c r="B99" s="32">
        <v>7.6555555555555488E-2</v>
      </c>
    </row>
    <row r="100" spans="1:2" x14ac:dyDescent="0.25">
      <c r="A100" s="5">
        <v>0.625</v>
      </c>
      <c r="B100" s="32">
        <v>0.10305555555555571</v>
      </c>
    </row>
    <row r="101" spans="1:2" x14ac:dyDescent="0.25">
      <c r="A101" s="5">
        <v>0.75</v>
      </c>
      <c r="B101" s="32">
        <v>7.2250000000000147E-2</v>
      </c>
    </row>
    <row r="102" spans="1:2" x14ac:dyDescent="0.25">
      <c r="A102" s="5">
        <v>0.875</v>
      </c>
      <c r="B102" s="32">
        <v>6.0958333333333337E-2</v>
      </c>
    </row>
    <row r="103" spans="1:2" x14ac:dyDescent="0.25">
      <c r="A103" s="5">
        <v>1</v>
      </c>
      <c r="B103" s="32">
        <v>5.4666666666666641E-2</v>
      </c>
    </row>
    <row r="104" spans="1:2" x14ac:dyDescent="0.25">
      <c r="A104" s="5">
        <v>1.125</v>
      </c>
      <c r="B104" s="32">
        <v>2.6432432432432429E-2</v>
      </c>
    </row>
    <row r="105" spans="1:2" x14ac:dyDescent="0.25">
      <c r="A105" s="5">
        <v>1.25</v>
      </c>
      <c r="B105" s="32">
        <v>2.5405405405405149E-2</v>
      </c>
    </row>
    <row r="106" spans="1:2" x14ac:dyDescent="0.25">
      <c r="A106" s="5">
        <v>1.375</v>
      </c>
      <c r="B106" s="32">
        <v>2.0891472868217138E-2</v>
      </c>
    </row>
    <row r="107" spans="1:2" x14ac:dyDescent="0.25">
      <c r="A107" s="5">
        <v>1.5</v>
      </c>
      <c r="B107" s="32">
        <v>1.441860465116274E-2</v>
      </c>
    </row>
    <row r="108" spans="1:2" x14ac:dyDescent="0.25">
      <c r="A108" s="5">
        <v>1.625</v>
      </c>
      <c r="B108" s="32">
        <v>8.4460547504022782E-3</v>
      </c>
    </row>
    <row r="109" spans="1:2" x14ac:dyDescent="0.25">
      <c r="A109" s="5">
        <v>1.75</v>
      </c>
      <c r="B109" s="32">
        <v>6.5539452495972927E-3</v>
      </c>
    </row>
    <row r="110" spans="1:2" x14ac:dyDescent="0.25">
      <c r="A110" s="5">
        <v>1.875</v>
      </c>
      <c r="B110" s="32">
        <v>0</v>
      </c>
    </row>
    <row r="111" spans="1:2" x14ac:dyDescent="0.25">
      <c r="A111" s="5">
        <v>2</v>
      </c>
      <c r="B111" s="32">
        <v>0</v>
      </c>
    </row>
    <row r="112" spans="1:2" x14ac:dyDescent="0.25">
      <c r="A112" s="5">
        <v>2.125</v>
      </c>
      <c r="B112" s="32">
        <v>0</v>
      </c>
    </row>
    <row r="113" spans="1:2" x14ac:dyDescent="0.25">
      <c r="A113" s="5">
        <v>2.25</v>
      </c>
      <c r="B113" s="32">
        <v>0</v>
      </c>
    </row>
    <row r="114" spans="1:2" x14ac:dyDescent="0.25">
      <c r="A114" s="5">
        <v>2.375</v>
      </c>
      <c r="B114" s="32">
        <v>0</v>
      </c>
    </row>
    <row r="115" spans="1:2" x14ac:dyDescent="0.25">
      <c r="A115" s="5">
        <v>2.5</v>
      </c>
      <c r="B115" s="32">
        <v>0</v>
      </c>
    </row>
    <row r="116" spans="1:2" x14ac:dyDescent="0.25">
      <c r="A116" s="5">
        <v>2.625</v>
      </c>
      <c r="B116" s="32">
        <v>0</v>
      </c>
    </row>
    <row r="117" spans="1:2" x14ac:dyDescent="0.25">
      <c r="A117" s="5">
        <v>2.75</v>
      </c>
      <c r="B117" s="32">
        <v>0</v>
      </c>
    </row>
    <row r="118" spans="1:2" x14ac:dyDescent="0.25">
      <c r="A118" s="5">
        <v>2.875</v>
      </c>
      <c r="B118" s="32">
        <v>0</v>
      </c>
    </row>
    <row r="119" spans="1:2" x14ac:dyDescent="0.25">
      <c r="A119" s="5">
        <v>3</v>
      </c>
      <c r="B119" s="32">
        <v>0</v>
      </c>
    </row>
    <row r="120" spans="1:2" x14ac:dyDescent="0.25">
      <c r="A120" s="5">
        <v>3.125</v>
      </c>
      <c r="B120" s="32">
        <v>0</v>
      </c>
    </row>
    <row r="121" spans="1:2" x14ac:dyDescent="0.25">
      <c r="A121" s="5">
        <v>3.25</v>
      </c>
      <c r="B121" s="32">
        <v>0</v>
      </c>
    </row>
    <row r="122" spans="1:2" x14ac:dyDescent="0.25">
      <c r="A122" s="5">
        <v>3.375</v>
      </c>
      <c r="B122" s="32">
        <v>0</v>
      </c>
    </row>
    <row r="123" spans="1:2" x14ac:dyDescent="0.25">
      <c r="A123" s="5">
        <v>3.5</v>
      </c>
      <c r="B123" s="32">
        <v>0</v>
      </c>
    </row>
    <row r="124" spans="1:2" x14ac:dyDescent="0.25">
      <c r="A124" s="5">
        <v>3.625</v>
      </c>
      <c r="B124" s="32">
        <v>0</v>
      </c>
    </row>
    <row r="125" spans="1:2" x14ac:dyDescent="0.25">
      <c r="A125" s="5">
        <v>3.75</v>
      </c>
      <c r="B125" s="32">
        <v>0</v>
      </c>
    </row>
    <row r="126" spans="1:2" x14ac:dyDescent="0.25">
      <c r="A126" s="5">
        <v>3.875</v>
      </c>
      <c r="B126" s="32">
        <v>0</v>
      </c>
    </row>
    <row r="127" spans="1:2" x14ac:dyDescent="0.25">
      <c r="A127" s="8">
        <v>4</v>
      </c>
      <c r="B127" s="35">
        <v>0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R57"/>
  <sheetViews>
    <sheetView workbookViewId="0">
      <selection activeCell="F9" sqref="F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0.42999999999999988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0</v>
      </c>
      <c r="B42" s="6">
        <v>68.192472530379732</v>
      </c>
      <c r="C42" s="6">
        <f>68.1924725303797 * $B$37 / 100</f>
        <v>68.192472530379703</v>
      </c>
      <c r="D42" s="6">
        <v>8.5921000000000003</v>
      </c>
      <c r="E42" s="7">
        <f>8.5921 * $B$37 / 100</f>
        <v>8.5921000000000003</v>
      </c>
    </row>
    <row r="43" spans="1:5" x14ac:dyDescent="0.25">
      <c r="A43" s="5">
        <v>10</v>
      </c>
      <c r="B43" s="6">
        <v>68.997804194077503</v>
      </c>
      <c r="C43" s="6">
        <f>68.9978041940775 * $B$37 / 100</f>
        <v>68.997804194077503</v>
      </c>
      <c r="D43" s="6">
        <v>8.6935700000000011</v>
      </c>
      <c r="E43" s="7">
        <f>8.69357 * $B$37 / 100</f>
        <v>8.6935699999999994</v>
      </c>
    </row>
    <row r="44" spans="1:5" x14ac:dyDescent="0.25">
      <c r="A44" s="5">
        <v>20</v>
      </c>
      <c r="B44" s="6">
        <v>69.803135857775274</v>
      </c>
      <c r="C44" s="6">
        <f>69.8031358577752 * $B$37 / 100</f>
        <v>69.803135857775203</v>
      </c>
      <c r="D44" s="6">
        <v>8.7950400000000002</v>
      </c>
      <c r="E44" s="7">
        <f>8.79504 * $B$37 / 100</f>
        <v>8.7950400000000002</v>
      </c>
    </row>
    <row r="45" spans="1:5" x14ac:dyDescent="0.25">
      <c r="A45" s="5">
        <v>30</v>
      </c>
      <c r="B45" s="6">
        <v>70.608467521473045</v>
      </c>
      <c r="C45" s="6">
        <f>70.608467521473 * $B$37 / 100</f>
        <v>70.608467521473003</v>
      </c>
      <c r="D45" s="6">
        <v>8.896510000000001</v>
      </c>
      <c r="E45" s="7">
        <f>8.89651 * $B$37 / 100</f>
        <v>8.8965099999999993</v>
      </c>
    </row>
    <row r="46" spans="1:5" x14ac:dyDescent="0.25">
      <c r="A46" s="5">
        <v>40</v>
      </c>
      <c r="B46" s="6">
        <v>71.413799185170816</v>
      </c>
      <c r="C46" s="6">
        <f>71.4137991851708 * $B$37 / 100</f>
        <v>71.413799185170802</v>
      </c>
      <c r="D46" s="6">
        <v>8.9979800000000001</v>
      </c>
      <c r="E46" s="7">
        <f>8.99798 * $B$37 / 100</f>
        <v>8.9979800000000001</v>
      </c>
    </row>
    <row r="47" spans="1:5" x14ac:dyDescent="0.25">
      <c r="A47" s="5">
        <v>50</v>
      </c>
      <c r="B47" s="6">
        <v>72.219130848868588</v>
      </c>
      <c r="C47" s="6">
        <f>72.2191308488685 * $B$37 / 100</f>
        <v>72.219130848868502</v>
      </c>
      <c r="D47" s="6">
        <v>9.0994500000000009</v>
      </c>
      <c r="E47" s="7">
        <f>9.09945 * $B$37 / 100</f>
        <v>9.0994499999999992</v>
      </c>
    </row>
    <row r="48" spans="1:5" x14ac:dyDescent="0.25">
      <c r="A48" s="5">
        <v>60</v>
      </c>
      <c r="B48" s="6">
        <v>73.024462512566373</v>
      </c>
      <c r="C48" s="6">
        <f>73.0244625125663 * $B$37 / 100</f>
        <v>73.024462512566302</v>
      </c>
      <c r="D48" s="6">
        <v>9.2009200000000018</v>
      </c>
      <c r="E48" s="7">
        <f>9.20092 * $B$37 / 100</f>
        <v>9.20092</v>
      </c>
    </row>
    <row r="49" spans="1:18" x14ac:dyDescent="0.25">
      <c r="A49" s="5">
        <v>70</v>
      </c>
      <c r="B49" s="6">
        <v>73.829794176264144</v>
      </c>
      <c r="C49" s="6">
        <f>73.8297941762641 * $B$37 / 100</f>
        <v>73.829794176264102</v>
      </c>
      <c r="D49" s="6">
        <v>9.3023900000000026</v>
      </c>
      <c r="E49" s="7">
        <f>9.30239 * $B$37 / 100</f>
        <v>9.3023900000000008</v>
      </c>
    </row>
    <row r="50" spans="1:18" x14ac:dyDescent="0.25">
      <c r="A50" s="5">
        <v>80</v>
      </c>
      <c r="B50" s="6">
        <v>74.635125839961916</v>
      </c>
      <c r="C50" s="6">
        <f>74.6351258399619 * $B$37 / 100</f>
        <v>74.635125839961901</v>
      </c>
      <c r="D50" s="6">
        <v>9.4038599999999999</v>
      </c>
      <c r="E50" s="7">
        <f>9.40386 * $B$37 / 100</f>
        <v>9.4038599999999999</v>
      </c>
    </row>
    <row r="51" spans="1:18" x14ac:dyDescent="0.25">
      <c r="A51" s="5">
        <v>90</v>
      </c>
      <c r="B51" s="6">
        <v>75.440457503659687</v>
      </c>
      <c r="C51" s="6">
        <f>75.4404575036596 * $B$37 / 100</f>
        <v>75.440457503659601</v>
      </c>
      <c r="D51" s="6">
        <v>9.5053300000000007</v>
      </c>
      <c r="E51" s="7">
        <f>9.50533 * $B$37 / 100</f>
        <v>9.5053300000000007</v>
      </c>
    </row>
    <row r="52" spans="1:18" x14ac:dyDescent="0.25">
      <c r="A52" s="8">
        <v>100</v>
      </c>
      <c r="B52" s="9">
        <v>76.245789167357458</v>
      </c>
      <c r="C52" s="9">
        <f>76.2457891673574 * $B$37 / 100</f>
        <v>76.245789167357401</v>
      </c>
      <c r="D52" s="9">
        <v>9.6068000000000016</v>
      </c>
      <c r="E52" s="10">
        <f>9.6068 * $B$37 / 100</f>
        <v>9.6067999999999998</v>
      </c>
    </row>
    <row r="54" spans="1:18" ht="28.9" customHeight="1" x14ac:dyDescent="0.5">
      <c r="A54" s="1" t="s">
        <v>25</v>
      </c>
      <c r="B54" s="1"/>
    </row>
    <row r="55" spans="1:18" x14ac:dyDescent="0.25">
      <c r="A55" s="21" t="s">
        <v>26</v>
      </c>
      <c r="B55" s="22">
        <v>0</v>
      </c>
      <c r="C55" s="22">
        <v>6.25</v>
      </c>
      <c r="D55" s="22">
        <v>12.5</v>
      </c>
      <c r="E55" s="22">
        <v>18.75</v>
      </c>
      <c r="F55" s="22">
        <v>25</v>
      </c>
      <c r="G55" s="22">
        <v>31.25</v>
      </c>
      <c r="H55" s="22">
        <v>37.5</v>
      </c>
      <c r="I55" s="22">
        <v>43.75</v>
      </c>
      <c r="J55" s="22">
        <v>50</v>
      </c>
      <c r="K55" s="22">
        <v>56.25</v>
      </c>
      <c r="L55" s="22">
        <v>62.5</v>
      </c>
      <c r="M55" s="22">
        <v>68.75</v>
      </c>
      <c r="N55" s="22">
        <v>75</v>
      </c>
      <c r="O55" s="22">
        <v>81.25</v>
      </c>
      <c r="P55" s="22">
        <v>87.5</v>
      </c>
      <c r="Q55" s="22">
        <v>93.75</v>
      </c>
      <c r="R55" s="23">
        <v>100</v>
      </c>
    </row>
    <row r="56" spans="1:18" x14ac:dyDescent="0.25">
      <c r="A56" s="5" t="s">
        <v>27</v>
      </c>
      <c r="B56" s="6">
        <f>0 * $B$39 + (1 - 0) * $B$38</f>
        <v>14.7</v>
      </c>
      <c r="C56" s="6">
        <f>0.0625 * $B$39 + (1 - 0.0625) * $B$38</f>
        <v>14.344250000000001</v>
      </c>
      <c r="D56" s="6">
        <f>0.125 * $B$39 + (1 - 0.125) * $B$38</f>
        <v>13.988499999999998</v>
      </c>
      <c r="E56" s="6">
        <f>0.1875 * $B$39 + (1 - 0.1875) * $B$38</f>
        <v>13.63275</v>
      </c>
      <c r="F56" s="6">
        <f>0.25 * $B$39 + (1 - 0.25) * $B$38</f>
        <v>13.276999999999997</v>
      </c>
      <c r="G56" s="6">
        <f>0.3125 * $B$39 + (1 - 0.3125) * $B$38</f>
        <v>12.921249999999999</v>
      </c>
      <c r="H56" s="6">
        <f>0.375 * $B$39 + (1 - 0.375) * $B$38</f>
        <v>12.5655</v>
      </c>
      <c r="I56" s="6">
        <f>0.4375 * $B$39 + (1 - 0.4375) * $B$38</f>
        <v>12.20975</v>
      </c>
      <c r="J56" s="6">
        <f>0.5 * $B$39 + (1 - 0.5) * $B$38</f>
        <v>11.853999999999999</v>
      </c>
      <c r="K56" s="6">
        <f>0.5625 * $B$39 + (1 - 0.5625) * $B$38</f>
        <v>11.498249999999999</v>
      </c>
      <c r="L56" s="6">
        <f>0.625 * $B$39 + (1 - 0.625) * $B$38</f>
        <v>11.142499999999998</v>
      </c>
      <c r="M56" s="6">
        <f>0.6875 * $B$39 + (1 - 0.6875) * $B$38</f>
        <v>10.78675</v>
      </c>
      <c r="N56" s="6">
        <f>0.75 * $B$39 + (1 - 0.75) * $B$38</f>
        <v>10.430999999999999</v>
      </c>
      <c r="O56" s="6">
        <f>0.8125 * $B$39 + (1 - 0.8125) * $B$38</f>
        <v>10.075249999999999</v>
      </c>
      <c r="P56" s="6">
        <f>0.875 * $B$39 + (1 - 0.875) * $B$38</f>
        <v>9.7195</v>
      </c>
      <c r="Q56" s="6">
        <f>0.9375 * $B$39 + (1 - 0.9375) * $B$38</f>
        <v>9.3637499999999978</v>
      </c>
      <c r="R56" s="7">
        <f>1 * $B$39 + (1 - 1) * $B$38</f>
        <v>9.0079999999999991</v>
      </c>
    </row>
    <row r="57" spans="1:18" x14ac:dyDescent="0.25">
      <c r="A57" s="8" t="s">
        <v>28</v>
      </c>
      <c r="B57" s="9">
        <f>(0 * $B$39 + (1 - 0) * $B$38) * $B$37 / 100</f>
        <v>14.7</v>
      </c>
      <c r="C57" s="9">
        <f>(0.0625 * $B$39 + (1 - 0.0625) * $B$38) * $B$37 / 100</f>
        <v>14.344249999999999</v>
      </c>
      <c r="D57" s="9">
        <f>(0.125 * $B$39 + (1 - 0.125) * $B$38) * $B$37 / 100</f>
        <v>13.988499999999998</v>
      </c>
      <c r="E57" s="9">
        <f>(0.1875 * $B$39 + (1 - 0.1875) * $B$38) * $B$37 / 100</f>
        <v>13.632749999999998</v>
      </c>
      <c r="F57" s="9">
        <f>(0.25 * $B$39 + (1 - 0.25) * $B$38) * $B$37 / 100</f>
        <v>13.276999999999997</v>
      </c>
      <c r="G57" s="9">
        <f>(0.3125 * $B$39 + (1 - 0.3125) * $B$38) * $B$37 / 100</f>
        <v>12.921249999999997</v>
      </c>
      <c r="H57" s="9">
        <f>(0.375 * $B$39 + (1 - 0.375) * $B$38) * $B$37 / 100</f>
        <v>12.5655</v>
      </c>
      <c r="I57" s="9">
        <f>(0.4375 * $B$39 + (1 - 0.4375) * $B$38) * $B$37 / 100</f>
        <v>12.20975</v>
      </c>
      <c r="J57" s="9">
        <f>(0.5 * $B$39 + (1 - 0.5) * $B$38) * $B$37 / 100</f>
        <v>11.853999999999999</v>
      </c>
      <c r="K57" s="9">
        <f>(0.5625 * $B$39 + (1 - 0.5625) * $B$38) * $B$37 / 100</f>
        <v>11.498249999999999</v>
      </c>
      <c r="L57" s="9">
        <f>(0.625 * $B$39 + (1 - 0.625) * $B$38) * $B$37 / 100</f>
        <v>11.142499999999998</v>
      </c>
      <c r="M57" s="9">
        <f>(0.6875 * $B$39 + (1 - 0.6875) * $B$38) * $B$37 / 100</f>
        <v>10.78675</v>
      </c>
      <c r="N57" s="9">
        <f>(0.75 * $B$39 + (1 - 0.75) * $B$38) * $B$37 / 100</f>
        <v>10.430999999999999</v>
      </c>
      <c r="O57" s="9">
        <f>(0.8125 * $B$39 + (1 - 0.8125) * $B$38) * $B$37 / 100</f>
        <v>10.075249999999999</v>
      </c>
      <c r="P57" s="9">
        <f>(0.875 * $B$39 + (1 - 0.875) * $B$38) * $B$37 / 100</f>
        <v>9.7195</v>
      </c>
      <c r="Q57" s="9">
        <f>(0.9375 * $B$39 + (1 - 0.9375) * $B$38) * $B$37 / 100</f>
        <v>9.3637499999999978</v>
      </c>
      <c r="R57" s="10">
        <f>(1 * $B$39 + (1 - 1) * $B$38) * $B$37 / 100</f>
        <v>9.0079999999999991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R62"/>
  <sheetViews>
    <sheetView workbookViewId="0">
      <selection activeCell="F8" sqref="F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0.42999999999999988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-50</v>
      </c>
      <c r="B42" s="6">
        <v>63.625063934108191</v>
      </c>
      <c r="C42" s="6">
        <f>63.6250639341081 * $B$37 / 100</f>
        <v>63.625063934108105</v>
      </c>
      <c r="D42" s="6">
        <v>8.0166166666666658</v>
      </c>
      <c r="E42" s="7">
        <f>8.01661666666666 * $B$37 / 100</f>
        <v>8.0166166666666605</v>
      </c>
    </row>
    <row r="43" spans="1:5" x14ac:dyDescent="0.25">
      <c r="A43" s="5">
        <v>-40</v>
      </c>
      <c r="B43" s="6">
        <v>64.538545653362505</v>
      </c>
      <c r="C43" s="6">
        <f>64.5385456533625 * $B$37 / 100</f>
        <v>64.538545653362505</v>
      </c>
      <c r="D43" s="6">
        <v>8.1317133333333356</v>
      </c>
      <c r="E43" s="7">
        <f>8.13171333333333 * $B$37 / 100</f>
        <v>8.1317133333333302</v>
      </c>
    </row>
    <row r="44" spans="1:5" x14ac:dyDescent="0.25">
      <c r="A44" s="5">
        <v>-30</v>
      </c>
      <c r="B44" s="6">
        <v>65.452027372616811</v>
      </c>
      <c r="C44" s="6">
        <f>65.4520273726168 * $B$37 / 100</f>
        <v>65.452027372616797</v>
      </c>
      <c r="D44" s="6">
        <v>8.2468100000000018</v>
      </c>
      <c r="E44" s="7">
        <f>8.24681 * $B$37 / 100</f>
        <v>8.24681</v>
      </c>
    </row>
    <row r="45" spans="1:5" x14ac:dyDescent="0.25">
      <c r="A45" s="5">
        <v>-20</v>
      </c>
      <c r="B45" s="6">
        <v>66.365509091871118</v>
      </c>
      <c r="C45" s="6">
        <f>66.3655090918711 * $B$37 / 100</f>
        <v>66.365509091871104</v>
      </c>
      <c r="D45" s="6">
        <v>8.3619066666666679</v>
      </c>
      <c r="E45" s="7">
        <f>8.36190666666666 * $B$37 / 100</f>
        <v>8.3619066666666608</v>
      </c>
    </row>
    <row r="46" spans="1:5" x14ac:dyDescent="0.25">
      <c r="A46" s="5">
        <v>-10</v>
      </c>
      <c r="B46" s="6">
        <v>67.278990811125425</v>
      </c>
      <c r="C46" s="6">
        <f>67.2789908111254 * $B$37 / 100</f>
        <v>67.278990811125396</v>
      </c>
      <c r="D46" s="6">
        <v>8.4770033333333341</v>
      </c>
      <c r="E46" s="7">
        <f>8.47700333333333 * $B$37 / 100</f>
        <v>8.4770033333333306</v>
      </c>
    </row>
    <row r="47" spans="1:5" x14ac:dyDescent="0.25">
      <c r="A47" s="5">
        <v>0</v>
      </c>
      <c r="B47" s="6">
        <v>68.192472530379732</v>
      </c>
      <c r="C47" s="6">
        <f>68.1924725303797 * $B$37 / 100</f>
        <v>68.192472530379703</v>
      </c>
      <c r="D47" s="6">
        <v>8.5921000000000003</v>
      </c>
      <c r="E47" s="7">
        <f>8.5921 * $B$37 / 100</f>
        <v>8.5921000000000003</v>
      </c>
    </row>
    <row r="48" spans="1:5" x14ac:dyDescent="0.25">
      <c r="A48" s="5">
        <v>10</v>
      </c>
      <c r="B48" s="6">
        <v>68.997804194077503</v>
      </c>
      <c r="C48" s="6">
        <f>68.9978041940775 * $B$37 / 100</f>
        <v>68.997804194077503</v>
      </c>
      <c r="D48" s="6">
        <v>8.6935700000000011</v>
      </c>
      <c r="E48" s="7">
        <f>8.69357 * $B$37 / 100</f>
        <v>8.6935699999999994</v>
      </c>
    </row>
    <row r="49" spans="1:18" x14ac:dyDescent="0.25">
      <c r="A49" s="5">
        <v>20</v>
      </c>
      <c r="B49" s="6">
        <v>69.803135857775274</v>
      </c>
      <c r="C49" s="6">
        <f>69.8031358577752 * $B$37 / 100</f>
        <v>69.803135857775203</v>
      </c>
      <c r="D49" s="6">
        <v>8.7950400000000002</v>
      </c>
      <c r="E49" s="7">
        <f>8.79504 * $B$37 / 100</f>
        <v>8.7950400000000002</v>
      </c>
    </row>
    <row r="50" spans="1:18" x14ac:dyDescent="0.25">
      <c r="A50" s="5">
        <v>30</v>
      </c>
      <c r="B50" s="6">
        <v>70.608467521473045</v>
      </c>
      <c r="C50" s="6">
        <f>70.608467521473 * $B$37 / 100</f>
        <v>70.608467521473003</v>
      </c>
      <c r="D50" s="6">
        <v>8.896510000000001</v>
      </c>
      <c r="E50" s="7">
        <f>8.89651 * $B$37 / 100</f>
        <v>8.8965099999999993</v>
      </c>
    </row>
    <row r="51" spans="1:18" x14ac:dyDescent="0.25">
      <c r="A51" s="5">
        <v>40</v>
      </c>
      <c r="B51" s="6">
        <v>71.413799185170816</v>
      </c>
      <c r="C51" s="6">
        <f>71.4137991851708 * $B$37 / 100</f>
        <v>71.413799185170802</v>
      </c>
      <c r="D51" s="6">
        <v>8.9979800000000001</v>
      </c>
      <c r="E51" s="7">
        <f>8.99798 * $B$37 / 100</f>
        <v>8.9979800000000001</v>
      </c>
    </row>
    <row r="52" spans="1:18" x14ac:dyDescent="0.25">
      <c r="A52" s="5">
        <v>50</v>
      </c>
      <c r="B52" s="6">
        <v>72.219130848868588</v>
      </c>
      <c r="C52" s="6">
        <f>72.2191308488685 * $B$37 / 100</f>
        <v>72.219130848868502</v>
      </c>
      <c r="D52" s="6">
        <v>9.0994500000000009</v>
      </c>
      <c r="E52" s="7">
        <f>9.09945 * $B$37 / 100</f>
        <v>9.0994499999999992</v>
      </c>
    </row>
    <row r="53" spans="1:18" x14ac:dyDescent="0.25">
      <c r="A53" s="5">
        <v>60</v>
      </c>
      <c r="B53" s="6">
        <v>73.024462512566373</v>
      </c>
      <c r="C53" s="6">
        <f>73.0244625125663 * $B$37 / 100</f>
        <v>73.024462512566302</v>
      </c>
      <c r="D53" s="6">
        <v>9.2009200000000018</v>
      </c>
      <c r="E53" s="7">
        <f>9.20092 * $B$37 / 100</f>
        <v>9.20092</v>
      </c>
    </row>
    <row r="54" spans="1:18" x14ac:dyDescent="0.25">
      <c r="A54" s="5">
        <v>70</v>
      </c>
      <c r="B54" s="6">
        <v>73.829794176264144</v>
      </c>
      <c r="C54" s="6">
        <f>73.8297941762641 * $B$37 / 100</f>
        <v>73.829794176264102</v>
      </c>
      <c r="D54" s="6">
        <v>9.3023900000000026</v>
      </c>
      <c r="E54" s="7">
        <f>9.30239 * $B$37 / 100</f>
        <v>9.3023900000000008</v>
      </c>
    </row>
    <row r="55" spans="1:18" x14ac:dyDescent="0.25">
      <c r="A55" s="5">
        <v>80</v>
      </c>
      <c r="B55" s="6">
        <v>74.635125839961916</v>
      </c>
      <c r="C55" s="6">
        <f>74.6351258399619 * $B$37 / 100</f>
        <v>74.635125839961901</v>
      </c>
      <c r="D55" s="6">
        <v>9.4038599999999999</v>
      </c>
      <c r="E55" s="7">
        <f>9.40386 * $B$37 / 100</f>
        <v>9.4038599999999999</v>
      </c>
    </row>
    <row r="56" spans="1:18" x14ac:dyDescent="0.25">
      <c r="A56" s="5">
        <v>90</v>
      </c>
      <c r="B56" s="6">
        <v>75.440457503659687</v>
      </c>
      <c r="C56" s="6">
        <f>75.4404575036596 * $B$37 / 100</f>
        <v>75.440457503659601</v>
      </c>
      <c r="D56" s="6">
        <v>9.5053300000000007</v>
      </c>
      <c r="E56" s="7">
        <f>9.50533 * $B$37 / 100</f>
        <v>9.5053300000000007</v>
      </c>
    </row>
    <row r="57" spans="1:18" x14ac:dyDescent="0.25">
      <c r="A57" s="8">
        <v>100</v>
      </c>
      <c r="B57" s="9">
        <v>76.245789167357458</v>
      </c>
      <c r="C57" s="9">
        <f>76.2457891673574 * $B$37 / 100</f>
        <v>76.245789167357401</v>
      </c>
      <c r="D57" s="9">
        <v>9.6068000000000016</v>
      </c>
      <c r="E57" s="10">
        <f>9.6068 * $B$37 / 100</f>
        <v>9.6067999999999998</v>
      </c>
    </row>
    <row r="59" spans="1:18" ht="28.9" customHeight="1" x14ac:dyDescent="0.5">
      <c r="A59" s="1" t="s">
        <v>25</v>
      </c>
      <c r="B59" s="1"/>
    </row>
    <row r="60" spans="1:18" x14ac:dyDescent="0.25">
      <c r="A60" s="21" t="s">
        <v>26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27</v>
      </c>
      <c r="B61" s="6">
        <f>0 * $B$39 + (1 - 0) * $B$38</f>
        <v>14.7</v>
      </c>
      <c r="C61" s="6">
        <f>0.0625 * $B$39 + (1 - 0.0625) * $B$38</f>
        <v>14.344250000000001</v>
      </c>
      <c r="D61" s="6">
        <f>0.125 * $B$39 + (1 - 0.125) * $B$38</f>
        <v>13.988499999999998</v>
      </c>
      <c r="E61" s="6">
        <f>0.1875 * $B$39 + (1 - 0.1875) * $B$38</f>
        <v>13.63275</v>
      </c>
      <c r="F61" s="6">
        <f>0.25 * $B$39 + (1 - 0.25) * $B$38</f>
        <v>13.276999999999997</v>
      </c>
      <c r="G61" s="6">
        <f>0.3125 * $B$39 + (1 - 0.3125) * $B$38</f>
        <v>12.921249999999999</v>
      </c>
      <c r="H61" s="6">
        <f>0.375 * $B$39 + (1 - 0.375) * $B$38</f>
        <v>12.5655</v>
      </c>
      <c r="I61" s="6">
        <f>0.4375 * $B$39 + (1 - 0.4375) * $B$38</f>
        <v>12.20975</v>
      </c>
      <c r="J61" s="6">
        <f>0.5 * $B$39 + (1 - 0.5) * $B$38</f>
        <v>11.853999999999999</v>
      </c>
      <c r="K61" s="6">
        <f>0.5625 * $B$39 + (1 - 0.5625) * $B$38</f>
        <v>11.498249999999999</v>
      </c>
      <c r="L61" s="6">
        <f>0.625 * $B$39 + (1 - 0.625) * $B$38</f>
        <v>11.142499999999998</v>
      </c>
      <c r="M61" s="6">
        <f>0.6875 * $B$39 + (1 - 0.6875) * $B$38</f>
        <v>10.78675</v>
      </c>
      <c r="N61" s="6">
        <f>0.75 * $B$39 + (1 - 0.75) * $B$38</f>
        <v>10.430999999999999</v>
      </c>
      <c r="O61" s="6">
        <f>0.8125 * $B$39 + (1 - 0.8125) * $B$38</f>
        <v>10.075249999999999</v>
      </c>
      <c r="P61" s="6">
        <f>0.875 * $B$39 + (1 - 0.875) * $B$38</f>
        <v>9.7195</v>
      </c>
      <c r="Q61" s="6">
        <f>0.9375 * $B$39 + (1 - 0.9375) * $B$38</f>
        <v>9.3637499999999978</v>
      </c>
      <c r="R61" s="7">
        <f>1 * $B$39 + (1 - 1) * $B$38</f>
        <v>9.0079999999999991</v>
      </c>
    </row>
    <row r="62" spans="1:18" x14ac:dyDescent="0.25">
      <c r="A62" s="8" t="s">
        <v>28</v>
      </c>
      <c r="B62" s="9">
        <f>(0 * $B$39 + (1 - 0) * $B$38) * $B$37 / 100</f>
        <v>14.7</v>
      </c>
      <c r="C62" s="9">
        <f>(0.0625 * $B$39 + (1 - 0.0625) * $B$38) * $B$37 / 100</f>
        <v>14.344249999999999</v>
      </c>
      <c r="D62" s="9">
        <f>(0.125 * $B$39 + (1 - 0.125) * $B$38) * $B$37 / 100</f>
        <v>13.988499999999998</v>
      </c>
      <c r="E62" s="9">
        <f>(0.1875 * $B$39 + (1 - 0.1875) * $B$38) * $B$37 / 100</f>
        <v>13.632749999999998</v>
      </c>
      <c r="F62" s="9">
        <f>(0.25 * $B$39 + (1 - 0.25) * $B$38) * $B$37 / 100</f>
        <v>13.276999999999997</v>
      </c>
      <c r="G62" s="9">
        <f>(0.3125 * $B$39 + (1 - 0.3125) * $B$38) * $B$37 / 100</f>
        <v>12.921249999999997</v>
      </c>
      <c r="H62" s="9">
        <f>(0.375 * $B$39 + (1 - 0.375) * $B$38) * $B$37 / 100</f>
        <v>12.5655</v>
      </c>
      <c r="I62" s="9">
        <f>(0.4375 * $B$39 + (1 - 0.4375) * $B$38) * $B$37 / 100</f>
        <v>12.20975</v>
      </c>
      <c r="J62" s="9">
        <f>(0.5 * $B$39 + (1 - 0.5) * $B$38) * $B$37 / 100</f>
        <v>11.853999999999999</v>
      </c>
      <c r="K62" s="9">
        <f>(0.5625 * $B$39 + (1 - 0.5625) * $B$38) * $B$37 / 100</f>
        <v>11.498249999999999</v>
      </c>
      <c r="L62" s="9">
        <f>(0.625 * $B$39 + (1 - 0.625) * $B$38) * $B$37 / 100</f>
        <v>11.142499999999998</v>
      </c>
      <c r="M62" s="9">
        <f>(0.6875 * $B$39 + (1 - 0.6875) * $B$38) * $B$37 / 100</f>
        <v>10.78675</v>
      </c>
      <c r="N62" s="9">
        <f>(0.75 * $B$39 + (1 - 0.75) * $B$38) * $B$37 / 100</f>
        <v>10.430999999999999</v>
      </c>
      <c r="O62" s="9">
        <f>(0.8125 * $B$39 + (1 - 0.8125) * $B$38) * $B$37 / 100</f>
        <v>10.075249999999999</v>
      </c>
      <c r="P62" s="9">
        <f>(0.875 * $B$39 + (1 - 0.875) * $B$38) * $B$37 / 100</f>
        <v>9.7195</v>
      </c>
      <c r="Q62" s="9">
        <f>(0.9375 * $B$39 + (1 - 0.9375) * $B$38) * $B$37 / 100</f>
        <v>9.3637499999999978</v>
      </c>
      <c r="R62" s="10">
        <f>(1 * $B$39 + (1 - 1) * $B$38) * $B$37 / 100</f>
        <v>9.0079999999999991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AH159"/>
  <sheetViews>
    <sheetView workbookViewId="0">
      <selection activeCell="F8" sqref="F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0.42999999999999988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-120</v>
      </c>
      <c r="B42" s="6">
        <v>56.929416744563397</v>
      </c>
      <c r="C42" s="6">
        <f>56.9294167445634 * $B$37 / 100</f>
        <v>56.929416744563397</v>
      </c>
      <c r="D42" s="6">
        <v>7.1729799999999999</v>
      </c>
      <c r="E42" s="7">
        <f>7.17298 * $B$37 / 100</f>
        <v>7.1729799999999999</v>
      </c>
    </row>
    <row r="43" spans="1:5" x14ac:dyDescent="0.25">
      <c r="A43" s="5">
        <v>-114</v>
      </c>
      <c r="B43" s="6">
        <v>57.567888322545372</v>
      </c>
      <c r="C43" s="6">
        <f>57.5678883225453 * $B$37 / 100</f>
        <v>57.567888322545308</v>
      </c>
      <c r="D43" s="6">
        <v>7.2534259999999993</v>
      </c>
      <c r="E43" s="7">
        <f>7.25342599999999 * $B$37 / 100</f>
        <v>7.2534259999999904</v>
      </c>
    </row>
    <row r="44" spans="1:5" x14ac:dyDescent="0.25">
      <c r="A44" s="5">
        <v>-108</v>
      </c>
      <c r="B44" s="6">
        <v>58.206359900527353</v>
      </c>
      <c r="C44" s="6">
        <f>58.2063599005273 * $B$37 / 100</f>
        <v>58.206359900527303</v>
      </c>
      <c r="D44" s="6">
        <v>7.3338720000000004</v>
      </c>
      <c r="E44" s="7">
        <f>7.333872 * $B$37 / 100</f>
        <v>7.3338720000000004</v>
      </c>
    </row>
    <row r="45" spans="1:5" x14ac:dyDescent="0.25">
      <c r="A45" s="5">
        <v>-101</v>
      </c>
      <c r="B45" s="6">
        <v>58.951243408172992</v>
      </c>
      <c r="C45" s="6">
        <f>58.9512434081729 * $B$37 / 100</f>
        <v>58.951243408172907</v>
      </c>
      <c r="D45" s="6">
        <v>7.4277256666666656</v>
      </c>
      <c r="E45" s="7">
        <f>7.42772566666666 * $B$37 / 100</f>
        <v>7.4277256666666611</v>
      </c>
    </row>
    <row r="46" spans="1:5" x14ac:dyDescent="0.25">
      <c r="A46" s="5">
        <v>-95</v>
      </c>
      <c r="B46" s="6">
        <v>59.514396197463803</v>
      </c>
      <c r="C46" s="6">
        <f>59.5143961974638 * $B$37 / 100</f>
        <v>59.514396197463803</v>
      </c>
      <c r="D46" s="6">
        <v>7.4986816666666671</v>
      </c>
      <c r="E46" s="7">
        <f>7.49868166666666 * $B$37 / 100</f>
        <v>7.4986816666666591</v>
      </c>
    </row>
    <row r="47" spans="1:5" x14ac:dyDescent="0.25">
      <c r="A47" s="5">
        <v>-89</v>
      </c>
      <c r="B47" s="6">
        <v>60.062485229016389</v>
      </c>
      <c r="C47" s="6">
        <f>60.0624852290163 * $B$37 / 100</f>
        <v>60.062485229016303</v>
      </c>
      <c r="D47" s="6">
        <v>7.5677396666666672</v>
      </c>
      <c r="E47" s="7">
        <f>7.56773966666666 * $B$37 / 100</f>
        <v>7.5677396666666592</v>
      </c>
    </row>
    <row r="48" spans="1:5" x14ac:dyDescent="0.25">
      <c r="A48" s="5">
        <v>-83</v>
      </c>
      <c r="B48" s="6">
        <v>60.610574260568967</v>
      </c>
      <c r="C48" s="6">
        <f>60.6105742605689 * $B$37 / 100</f>
        <v>60.610574260568903</v>
      </c>
      <c r="D48" s="6">
        <v>7.6367976666666673</v>
      </c>
      <c r="E48" s="7">
        <f>7.63679766666666 * $B$37 / 100</f>
        <v>7.636797666666661</v>
      </c>
    </row>
    <row r="49" spans="1:5" x14ac:dyDescent="0.25">
      <c r="A49" s="5">
        <v>-76</v>
      </c>
      <c r="B49" s="6">
        <v>61.250011464046992</v>
      </c>
      <c r="C49" s="6">
        <f>61.2500114640469 * $B$37 / 100</f>
        <v>61.250011464046899</v>
      </c>
      <c r="D49" s="6">
        <v>7.7173653333333334</v>
      </c>
      <c r="E49" s="7">
        <f>7.71736533333333 * $B$37 / 100</f>
        <v>7.7173653333333299</v>
      </c>
    </row>
    <row r="50" spans="1:5" x14ac:dyDescent="0.25">
      <c r="A50" s="5">
        <v>-70</v>
      </c>
      <c r="B50" s="6">
        <v>61.798100495599577</v>
      </c>
      <c r="C50" s="6">
        <f>61.7981004955995 * $B$37 / 100</f>
        <v>61.798100495599499</v>
      </c>
      <c r="D50" s="6">
        <v>7.7864233333333344</v>
      </c>
      <c r="E50" s="7">
        <f>7.78642333333333 * $B$37 / 100</f>
        <v>7.7864233333333299</v>
      </c>
    </row>
    <row r="51" spans="1:5" x14ac:dyDescent="0.25">
      <c r="A51" s="5">
        <v>-64</v>
      </c>
      <c r="B51" s="6">
        <v>62.346189527152163</v>
      </c>
      <c r="C51" s="6">
        <f>62.3461895271521 * $B$37 / 100</f>
        <v>62.346189527152099</v>
      </c>
      <c r="D51" s="6">
        <v>7.8554813333333344</v>
      </c>
      <c r="E51" s="7">
        <f>7.85548133333333 * $B$37 / 100</f>
        <v>7.85548133333333</v>
      </c>
    </row>
    <row r="52" spans="1:5" x14ac:dyDescent="0.25">
      <c r="A52" s="5">
        <v>-58</v>
      </c>
      <c r="B52" s="6">
        <v>62.894278558704741</v>
      </c>
      <c r="C52" s="6">
        <f>62.8942785587047 * $B$37 / 100</f>
        <v>62.894278558704698</v>
      </c>
      <c r="D52" s="6">
        <v>7.9245393333333336</v>
      </c>
      <c r="E52" s="7">
        <f>7.92453933333333 * $B$37 / 100</f>
        <v>7.92453933333333</v>
      </c>
    </row>
    <row r="53" spans="1:5" x14ac:dyDescent="0.25">
      <c r="A53" s="5">
        <v>-51</v>
      </c>
      <c r="B53" s="6">
        <v>63.533715762182759</v>
      </c>
      <c r="C53" s="6">
        <f>63.5337157621827 * $B$37 / 100</f>
        <v>63.533715762182702</v>
      </c>
      <c r="D53" s="6">
        <v>8.0051070000000006</v>
      </c>
      <c r="E53" s="7">
        <f>8.005107 * $B$37 / 100</f>
        <v>8.0051070000000006</v>
      </c>
    </row>
    <row r="54" spans="1:5" x14ac:dyDescent="0.25">
      <c r="A54" s="5">
        <v>-45</v>
      </c>
      <c r="B54" s="6">
        <v>64.081804793735344</v>
      </c>
      <c r="C54" s="6">
        <f>64.0818047937353 * $B$37 / 100</f>
        <v>64.081804793735301</v>
      </c>
      <c r="D54" s="6">
        <v>8.0741650000000007</v>
      </c>
      <c r="E54" s="7">
        <f>8.074165 * $B$37 / 100</f>
        <v>8.0741650000000007</v>
      </c>
    </row>
    <row r="55" spans="1:5" x14ac:dyDescent="0.25">
      <c r="A55" s="5">
        <v>-39</v>
      </c>
      <c r="B55" s="6">
        <v>64.629893825287922</v>
      </c>
      <c r="C55" s="6">
        <f>64.6298938252879 * $B$37 / 100</f>
        <v>64.629893825287894</v>
      </c>
      <c r="D55" s="6">
        <v>8.143222999999999</v>
      </c>
      <c r="E55" s="7">
        <f>8.14322299999999 * $B$37 / 100</f>
        <v>8.1432229999999901</v>
      </c>
    </row>
    <row r="56" spans="1:5" x14ac:dyDescent="0.25">
      <c r="A56" s="5">
        <v>-33</v>
      </c>
      <c r="B56" s="6">
        <v>65.177982856840515</v>
      </c>
      <c r="C56" s="6">
        <f>65.1779828568405 * $B$37 / 100</f>
        <v>65.177982856840501</v>
      </c>
      <c r="D56" s="6">
        <v>8.2122810000000008</v>
      </c>
      <c r="E56" s="7">
        <f>8.212281 * $B$37 / 100</f>
        <v>8.2122810000000008</v>
      </c>
    </row>
    <row r="57" spans="1:5" x14ac:dyDescent="0.25">
      <c r="A57" s="5">
        <v>-26</v>
      </c>
      <c r="B57" s="6">
        <v>65.817420060318526</v>
      </c>
      <c r="C57" s="6">
        <f>65.8174200603185 * $B$37 / 100</f>
        <v>65.817420060318497</v>
      </c>
      <c r="D57" s="6">
        <v>8.2928486666666661</v>
      </c>
      <c r="E57" s="7">
        <f>8.29284866666666 * $B$37 / 100</f>
        <v>8.2928486666666608</v>
      </c>
    </row>
    <row r="58" spans="1:5" x14ac:dyDescent="0.25">
      <c r="A58" s="5">
        <v>-20</v>
      </c>
      <c r="B58" s="6">
        <v>66.365509091871118</v>
      </c>
      <c r="C58" s="6">
        <f>66.3655090918711 * $B$37 / 100</f>
        <v>66.365509091871104</v>
      </c>
      <c r="D58" s="6">
        <v>8.3619066666666679</v>
      </c>
      <c r="E58" s="7">
        <f>8.36190666666666 * $B$37 / 100</f>
        <v>8.3619066666666608</v>
      </c>
    </row>
    <row r="59" spans="1:5" x14ac:dyDescent="0.25">
      <c r="A59" s="5">
        <v>-14</v>
      </c>
      <c r="B59" s="6">
        <v>66.913598123423697</v>
      </c>
      <c r="C59" s="6">
        <f>66.9135981234237 * $B$37 / 100</f>
        <v>66.913598123423697</v>
      </c>
      <c r="D59" s="6">
        <v>8.4309646666666662</v>
      </c>
      <c r="E59" s="7">
        <f>8.43096466666666 * $B$37 / 100</f>
        <v>8.4309646666666591</v>
      </c>
    </row>
    <row r="60" spans="1:5" x14ac:dyDescent="0.25">
      <c r="A60" s="5">
        <v>-8</v>
      </c>
      <c r="B60" s="6">
        <v>67.461687154976289</v>
      </c>
      <c r="C60" s="6">
        <f>67.4616871549762 * $B$37 / 100</f>
        <v>67.461687154976204</v>
      </c>
      <c r="D60" s="6">
        <v>8.5000226666666681</v>
      </c>
      <c r="E60" s="7">
        <f>8.50002266666666 * $B$37 / 100</f>
        <v>8.5000226666666592</v>
      </c>
    </row>
    <row r="61" spans="1:5" x14ac:dyDescent="0.25">
      <c r="A61" s="5">
        <v>-1</v>
      </c>
      <c r="B61" s="6">
        <v>68.1011243584543</v>
      </c>
      <c r="C61" s="6">
        <f>68.1011243584543 * $B$37 / 100</f>
        <v>68.1011243584543</v>
      </c>
      <c r="D61" s="6">
        <v>8.5805903333333333</v>
      </c>
      <c r="E61" s="7">
        <f>8.58059033333333 * $B$37 / 100</f>
        <v>8.5805903333333298</v>
      </c>
    </row>
    <row r="62" spans="1:5" x14ac:dyDescent="0.25">
      <c r="A62" s="5">
        <v>5</v>
      </c>
      <c r="B62" s="6">
        <v>68.595138362228624</v>
      </c>
      <c r="C62" s="6">
        <f>68.5951383622286 * $B$37 / 100</f>
        <v>68.595138362228596</v>
      </c>
      <c r="D62" s="6">
        <v>8.6428350000000016</v>
      </c>
      <c r="E62" s="7">
        <f>8.642835 * $B$37 / 100</f>
        <v>8.6428349999999998</v>
      </c>
    </row>
    <row r="63" spans="1:5" x14ac:dyDescent="0.25">
      <c r="A63" s="5">
        <v>11</v>
      </c>
      <c r="B63" s="6">
        <v>69.078337360447279</v>
      </c>
      <c r="C63" s="6">
        <f>69.0783373604472 * $B$37 / 100</f>
        <v>69.078337360447193</v>
      </c>
      <c r="D63" s="6">
        <v>8.7037169999999993</v>
      </c>
      <c r="E63" s="7">
        <f>8.703717 * $B$37 / 100</f>
        <v>8.7037169999999993</v>
      </c>
    </row>
    <row r="64" spans="1:5" x14ac:dyDescent="0.25">
      <c r="A64" s="5">
        <v>18</v>
      </c>
      <c r="B64" s="6">
        <v>69.642069525035723</v>
      </c>
      <c r="C64" s="6">
        <f>69.6420695250357 * $B$37 / 100</f>
        <v>69.642069525035694</v>
      </c>
      <c r="D64" s="6">
        <v>8.7747460000000004</v>
      </c>
      <c r="E64" s="7">
        <f>8.774746 * $B$37 / 100</f>
        <v>8.7747460000000004</v>
      </c>
    </row>
    <row r="65" spans="1:18" x14ac:dyDescent="0.25">
      <c r="A65" s="5">
        <v>24</v>
      </c>
      <c r="B65" s="6">
        <v>70.125268523254391</v>
      </c>
      <c r="C65" s="6">
        <f>70.1252685232543 * $B$37 / 100</f>
        <v>70.125268523254306</v>
      </c>
      <c r="D65" s="6">
        <v>8.8356280000000016</v>
      </c>
      <c r="E65" s="7">
        <f>8.835628 * $B$37 / 100</f>
        <v>8.8356279999999998</v>
      </c>
    </row>
    <row r="66" spans="1:18" x14ac:dyDescent="0.25">
      <c r="A66" s="5">
        <v>30</v>
      </c>
      <c r="B66" s="6">
        <v>70.608467521473045</v>
      </c>
      <c r="C66" s="6">
        <f>70.608467521473 * $B$37 / 100</f>
        <v>70.608467521473003</v>
      </c>
      <c r="D66" s="6">
        <v>8.896510000000001</v>
      </c>
      <c r="E66" s="7">
        <f>8.89651 * $B$37 / 100</f>
        <v>8.8965099999999993</v>
      </c>
    </row>
    <row r="67" spans="1:18" x14ac:dyDescent="0.25">
      <c r="A67" s="5">
        <v>36</v>
      </c>
      <c r="B67" s="6">
        <v>71.091666519691714</v>
      </c>
      <c r="C67" s="6">
        <f>71.0916665196917 * $B$37 / 100</f>
        <v>71.091666519691699</v>
      </c>
      <c r="D67" s="6">
        <v>8.9573920000000005</v>
      </c>
      <c r="E67" s="7">
        <f>8.957392 * $B$37 / 100</f>
        <v>8.9573920000000005</v>
      </c>
    </row>
    <row r="68" spans="1:18" x14ac:dyDescent="0.25">
      <c r="A68" s="5">
        <v>43</v>
      </c>
      <c r="B68" s="6">
        <v>71.655398684280158</v>
      </c>
      <c r="C68" s="6">
        <f>71.6553986842801 * $B$37 / 100</f>
        <v>71.655398684280101</v>
      </c>
      <c r="D68" s="6">
        <v>9.0284210000000016</v>
      </c>
      <c r="E68" s="7">
        <f>9.028421 * $B$37 / 100</f>
        <v>9.0284209999999998</v>
      </c>
    </row>
    <row r="69" spans="1:18" x14ac:dyDescent="0.25">
      <c r="A69" s="5">
        <v>49</v>
      </c>
      <c r="B69" s="6">
        <v>72.138597682498812</v>
      </c>
      <c r="C69" s="6">
        <f>72.1385976824988 * $B$37 / 100</f>
        <v>72.138597682498798</v>
      </c>
      <c r="D69" s="6">
        <v>9.0893029999999992</v>
      </c>
      <c r="E69" s="7">
        <f>9.089303 * $B$37 / 100</f>
        <v>9.0893029999999992</v>
      </c>
    </row>
    <row r="70" spans="1:18" x14ac:dyDescent="0.25">
      <c r="A70" s="5">
        <v>55</v>
      </c>
      <c r="B70" s="6">
        <v>72.62179668071748</v>
      </c>
      <c r="C70" s="6">
        <f>72.6217966807174 * $B$37 / 100</f>
        <v>72.621796680717395</v>
      </c>
      <c r="D70" s="6">
        <v>9.1501850000000005</v>
      </c>
      <c r="E70" s="7">
        <f>9.150185 * $B$37 / 100</f>
        <v>9.1501850000000005</v>
      </c>
    </row>
    <row r="71" spans="1:18" x14ac:dyDescent="0.25">
      <c r="A71" s="5">
        <v>61</v>
      </c>
      <c r="B71" s="6">
        <v>73.104995678936149</v>
      </c>
      <c r="C71" s="6">
        <f>73.1049956789361 * $B$37 / 100</f>
        <v>73.104995678936106</v>
      </c>
      <c r="D71" s="6">
        <v>9.2110669999999999</v>
      </c>
      <c r="E71" s="7">
        <f>9.211067 * $B$37 / 100</f>
        <v>9.2110669999999999</v>
      </c>
    </row>
    <row r="72" spans="1:18" x14ac:dyDescent="0.25">
      <c r="A72" s="5">
        <v>68</v>
      </c>
      <c r="B72" s="6">
        <v>73.668727843524579</v>
      </c>
      <c r="C72" s="6">
        <f>73.6687278435245 * $B$37 / 100</f>
        <v>73.668727843524493</v>
      </c>
      <c r="D72" s="6">
        <v>9.2820959999999992</v>
      </c>
      <c r="E72" s="7">
        <f>9.282096 * $B$37 / 100</f>
        <v>9.2820959999999992</v>
      </c>
    </row>
    <row r="73" spans="1:18" x14ac:dyDescent="0.25">
      <c r="A73" s="5">
        <v>74</v>
      </c>
      <c r="B73" s="6">
        <v>74.151926841743247</v>
      </c>
      <c r="C73" s="6">
        <f>74.1519268417432 * $B$37 / 100</f>
        <v>74.151926841743204</v>
      </c>
      <c r="D73" s="6">
        <v>9.3429780000000004</v>
      </c>
      <c r="E73" s="7">
        <f>9.342978 * $B$37 / 100</f>
        <v>9.3429780000000004</v>
      </c>
    </row>
    <row r="74" spans="1:18" x14ac:dyDescent="0.25">
      <c r="A74" s="8">
        <v>80</v>
      </c>
      <c r="B74" s="9">
        <v>74.635125839961916</v>
      </c>
      <c r="C74" s="9">
        <f>74.6351258399619 * $B$37 / 100</f>
        <v>74.635125839961901</v>
      </c>
      <c r="D74" s="9">
        <v>9.4038599999999999</v>
      </c>
      <c r="E74" s="10">
        <f>9.40386 * $B$37 / 100</f>
        <v>9.4038599999999999</v>
      </c>
    </row>
    <row r="76" spans="1:18" ht="28.9" customHeight="1" x14ac:dyDescent="0.5">
      <c r="A76" s="1" t="s">
        <v>25</v>
      </c>
      <c r="B76" s="1"/>
    </row>
    <row r="77" spans="1:18" x14ac:dyDescent="0.25">
      <c r="A77" s="21" t="s">
        <v>26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27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28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34" ht="28.9" customHeight="1" x14ac:dyDescent="0.5">
      <c r="A81" s="1" t="s">
        <v>29</v>
      </c>
      <c r="B81" s="1"/>
    </row>
    <row r="82" spans="1:34" x14ac:dyDescent="0.25">
      <c r="A82" s="24" t="s">
        <v>30</v>
      </c>
      <c r="B82" s="25" t="s">
        <v>31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6"/>
    </row>
    <row r="83" spans="1:34" x14ac:dyDescent="0.25">
      <c r="A83" s="27" t="s">
        <v>20</v>
      </c>
      <c r="B83" s="28">
        <v>4.5</v>
      </c>
      <c r="C83" s="28">
        <v>5</v>
      </c>
      <c r="D83" s="28">
        <v>5.5</v>
      </c>
      <c r="E83" s="28">
        <v>6</v>
      </c>
      <c r="F83" s="28">
        <v>6.5</v>
      </c>
      <c r="G83" s="28">
        <v>7</v>
      </c>
      <c r="H83" s="28">
        <v>7.5</v>
      </c>
      <c r="I83" s="28">
        <v>8</v>
      </c>
      <c r="J83" s="28">
        <v>8.5</v>
      </c>
      <c r="K83" s="28">
        <v>9</v>
      </c>
      <c r="L83" s="28">
        <v>9.5</v>
      </c>
      <c r="M83" s="28">
        <v>10</v>
      </c>
      <c r="N83" s="28">
        <v>10.5</v>
      </c>
      <c r="O83" s="28">
        <v>11</v>
      </c>
      <c r="P83" s="28">
        <v>11.5</v>
      </c>
      <c r="Q83" s="28">
        <v>12</v>
      </c>
      <c r="R83" s="28">
        <v>12.5</v>
      </c>
      <c r="S83" s="28">
        <v>13</v>
      </c>
      <c r="T83" s="28">
        <v>13.5</v>
      </c>
      <c r="U83" s="28">
        <v>14</v>
      </c>
      <c r="V83" s="28">
        <v>14.5</v>
      </c>
      <c r="W83" s="28">
        <v>15</v>
      </c>
      <c r="X83" s="28">
        <v>15.5</v>
      </c>
      <c r="Y83" s="28">
        <v>16</v>
      </c>
      <c r="Z83" s="28">
        <v>16.5</v>
      </c>
      <c r="AA83" s="28">
        <v>17</v>
      </c>
      <c r="AB83" s="28">
        <v>17.5</v>
      </c>
      <c r="AC83" s="28">
        <v>18</v>
      </c>
      <c r="AD83" s="28">
        <v>18.5</v>
      </c>
      <c r="AE83" s="28">
        <v>19</v>
      </c>
      <c r="AF83" s="28">
        <v>19.5</v>
      </c>
      <c r="AG83" s="28">
        <v>20</v>
      </c>
      <c r="AH83" s="29">
        <v>20.5</v>
      </c>
    </row>
    <row r="84" spans="1:34" x14ac:dyDescent="0.25">
      <c r="A84" s="30">
        <v>-120</v>
      </c>
      <c r="B84" s="31">
        <v>5.9061114796907628</v>
      </c>
      <c r="C84" s="31">
        <v>5.2741052860007969</v>
      </c>
      <c r="D84" s="31">
        <v>4.6970149423459757</v>
      </c>
      <c r="E84" s="31">
        <v>4.1727100322359707</v>
      </c>
      <c r="F84" s="31">
        <v>3.6989788503154721</v>
      </c>
      <c r="G84" s="31">
        <v>3.273528402364192</v>
      </c>
      <c r="H84" s="31">
        <v>2.8939844052968642</v>
      </c>
      <c r="I84" s="31">
        <v>2.5578912871632369</v>
      </c>
      <c r="J84" s="31">
        <v>2.262712187148086</v>
      </c>
      <c r="K84" s="31">
        <v>2.0058289555712019</v>
      </c>
      <c r="L84" s="31">
        <v>1.784542153887394</v>
      </c>
      <c r="M84" s="31">
        <v>1.596071054686496</v>
      </c>
      <c r="N84" s="31">
        <v>1.437553641693353</v>
      </c>
      <c r="O84" s="31">
        <v>1.306046609767842</v>
      </c>
      <c r="P84" s="31">
        <v>1.198525364904852</v>
      </c>
      <c r="Q84" s="31">
        <v>1.1118840242342889</v>
      </c>
      <c r="R84" s="31">
        <v>1.042935416021086</v>
      </c>
      <c r="S84" s="31">
        <v>0.98841107966519193</v>
      </c>
      <c r="T84" s="31">
        <v>0.94496126570157923</v>
      </c>
      <c r="U84" s="31">
        <v>0.9091549358002291</v>
      </c>
      <c r="V84" s="31">
        <v>0.87747976276615391</v>
      </c>
      <c r="W84" s="31">
        <v>0.84634213053938334</v>
      </c>
      <c r="X84" s="31">
        <v>0.81206713419496623</v>
      </c>
      <c r="Y84" s="31">
        <v>0.77089857994297017</v>
      </c>
      <c r="Z84" s="31">
        <v>0.71899898512848026</v>
      </c>
      <c r="AA84" s="31">
        <v>0.65244957823160488</v>
      </c>
      <c r="AB84" s="31">
        <v>0.56725029886747724</v>
      </c>
      <c r="AC84" s="31">
        <v>0.45931979778623971</v>
      </c>
      <c r="AD84" s="31">
        <v>0.32449543687305399</v>
      </c>
      <c r="AE84" s="31">
        <v>0.15853328914810849</v>
      </c>
      <c r="AF84" s="31">
        <v>-4.2891861233385058E-2</v>
      </c>
      <c r="AG84" s="31">
        <v>-0.2841865189811994</v>
      </c>
      <c r="AH84" s="32">
        <v>-0.56983847767009088</v>
      </c>
    </row>
    <row r="85" spans="1:34" x14ac:dyDescent="0.25">
      <c r="A85" s="30">
        <v>-114</v>
      </c>
      <c r="B85" s="31">
        <v>5.9440499073432029</v>
      </c>
      <c r="C85" s="31">
        <v>5.3068365364279853</v>
      </c>
      <c r="D85" s="31">
        <v>4.7250384419932736</v>
      </c>
      <c r="E85" s="31">
        <v>4.1965012164315949</v>
      </c>
      <c r="F85" s="31">
        <v>3.7189891632704799</v>
      </c>
      <c r="G85" s="31">
        <v>3.290185297172485</v>
      </c>
      <c r="H85" s="31">
        <v>2.9076913439351868</v>
      </c>
      <c r="I85" s="31">
        <v>2.569027740491177</v>
      </c>
      <c r="J85" s="31">
        <v>2.2716336349080728</v>
      </c>
      <c r="K85" s="31">
        <v>2.01286688638851</v>
      </c>
      <c r="L85" s="31">
        <v>1.790004065270139</v>
      </c>
      <c r="M85" s="31">
        <v>1.60024045302564</v>
      </c>
      <c r="N85" s="31">
        <v>1.4406900422626969</v>
      </c>
      <c r="O85" s="31">
        <v>1.3083855367240349</v>
      </c>
      <c r="P85" s="31">
        <v>1.20027835128738</v>
      </c>
      <c r="Q85" s="31">
        <v>1.113238611965488</v>
      </c>
      <c r="R85" s="31">
        <v>1.044055155906132</v>
      </c>
      <c r="S85" s="31">
        <v>0.98943553139210338</v>
      </c>
      <c r="T85" s="31">
        <v>0.94600599784121486</v>
      </c>
      <c r="U85" s="31">
        <v>0.91031152580629571</v>
      </c>
      <c r="V85" s="31">
        <v>0.87881579697520573</v>
      </c>
      <c r="W85" s="31">
        <v>0.84790120417080428</v>
      </c>
      <c r="X85" s="31">
        <v>0.81386885135099696</v>
      </c>
      <c r="Y85" s="31">
        <v>0.77293855360868491</v>
      </c>
      <c r="Z85" s="31">
        <v>0.72124883717180499</v>
      </c>
      <c r="AA85" s="31">
        <v>0.65485693940330147</v>
      </c>
      <c r="AB85" s="31">
        <v>0.56973880880115069</v>
      </c>
      <c r="AC85" s="31">
        <v>0.46178910499834919</v>
      </c>
      <c r="AD85" s="31">
        <v>0.32682119876288418</v>
      </c>
      <c r="AE85" s="31">
        <v>0.1605671719978031</v>
      </c>
      <c r="AF85" s="31">
        <v>-4.1322182258846353E-2</v>
      </c>
      <c r="AG85" s="31">
        <v>-0.28327735983399371</v>
      </c>
      <c r="AH85" s="32">
        <v>-0.56981014541955577</v>
      </c>
    </row>
    <row r="86" spans="1:34" x14ac:dyDescent="0.25">
      <c r="A86" s="30">
        <v>-108</v>
      </c>
      <c r="B86" s="31">
        <v>5.9829715225346458</v>
      </c>
      <c r="C86" s="31">
        <v>5.3404620957476867</v>
      </c>
      <c r="D86" s="31">
        <v>4.7538710794053287</v>
      </c>
      <c r="E86" s="31">
        <v>4.2210200747829383</v>
      </c>
      <c r="F86" s="31">
        <v>3.7396493942908942</v>
      </c>
      <c r="G86" s="31">
        <v>3.3074180614745869</v>
      </c>
      <c r="H86" s="31">
        <v>2.9219038110144462</v>
      </c>
      <c r="I86" s="31">
        <v>2.5806030887258991</v>
      </c>
      <c r="J86" s="31">
        <v>2.280931051559413</v>
      </c>
      <c r="K86" s="31">
        <v>2.020221567600462</v>
      </c>
      <c r="L86" s="31">
        <v>1.795727216069541</v>
      </c>
      <c r="M86" s="31">
        <v>1.6046192873221721</v>
      </c>
      <c r="N86" s="31">
        <v>1.4439877828488861</v>
      </c>
      <c r="O86" s="31">
        <v>1.310841415275247</v>
      </c>
      <c r="P86" s="31">
        <v>1.202107608361827</v>
      </c>
      <c r="Q86" s="31">
        <v>1.114632497004221</v>
      </c>
      <c r="R86" s="31">
        <v>1.045180927233049</v>
      </c>
      <c r="S86" s="31">
        <v>0.99043645621394782</v>
      </c>
      <c r="T86" s="31">
        <v>0.94700135224757109</v>
      </c>
      <c r="U86" s="31">
        <v>0.91139659476958867</v>
      </c>
      <c r="V86" s="31">
        <v>0.88006187435070315</v>
      </c>
      <c r="W86" s="31">
        <v>0.84935559269662653</v>
      </c>
      <c r="X86" s="31">
        <v>0.81555486264809429</v>
      </c>
      <c r="Y86" s="31">
        <v>0.77485550818086257</v>
      </c>
      <c r="Z86" s="31">
        <v>0.72337206440569835</v>
      </c>
      <c r="AA86" s="31">
        <v>0.65713777756840053</v>
      </c>
      <c r="AB86" s="31">
        <v>0.57210460504978133</v>
      </c>
      <c r="AC86" s="31">
        <v>0.46414321536568087</v>
      </c>
      <c r="AD86" s="31">
        <v>0.32904298816694322</v>
      </c>
      <c r="AE86" s="31">
        <v>0.162512014239443</v>
      </c>
      <c r="AF86" s="31">
        <v>-3.9822904495921699E-2</v>
      </c>
      <c r="AG86" s="31">
        <v>-0.28241625498324308</v>
      </c>
      <c r="AH86" s="32">
        <v>-0.56980381303158922</v>
      </c>
    </row>
    <row r="87" spans="1:34" x14ac:dyDescent="0.25">
      <c r="A87" s="30">
        <v>-101</v>
      </c>
      <c r="B87" s="31">
        <v>6.0296180142373856</v>
      </c>
      <c r="C87" s="31">
        <v>5.3808182509911608</v>
      </c>
      <c r="D87" s="31">
        <v>4.7885285737060332</v>
      </c>
      <c r="E87" s="31">
        <v>4.2505425940206809</v>
      </c>
      <c r="F87" s="31">
        <v>3.7645726347087991</v>
      </c>
      <c r="G87" s="31">
        <v>3.328249729679102</v>
      </c>
      <c r="H87" s="31">
        <v>2.9391236239753291</v>
      </c>
      <c r="I87" s="31">
        <v>2.594662773776228</v>
      </c>
      <c r="J87" s="31">
        <v>2.2922543463955791</v>
      </c>
      <c r="K87" s="31">
        <v>2.0292042202821801</v>
      </c>
      <c r="L87" s="31">
        <v>1.8027369850198389</v>
      </c>
      <c r="M87" s="31">
        <v>1.6099959413273941</v>
      </c>
      <c r="N87" s="31">
        <v>1.4480431010586949</v>
      </c>
      <c r="O87" s="31">
        <v>1.313859187202624</v>
      </c>
      <c r="P87" s="31">
        <v>1.2043436338830691</v>
      </c>
      <c r="Q87" s="31">
        <v>1.116314586358943</v>
      </c>
      <c r="R87" s="31">
        <v>1.0465089010241799</v>
      </c>
      <c r="S87" s="31">
        <v>0.99158214540773248</v>
      </c>
      <c r="T87" s="31">
        <v>0.94810859817357629</v>
      </c>
      <c r="U87" s="31">
        <v>0.91258124912070049</v>
      </c>
      <c r="V87" s="31">
        <v>0.88141179918311641</v>
      </c>
      <c r="W87" s="31">
        <v>0.85093066042985843</v>
      </c>
      <c r="X87" s="31">
        <v>0.81738695606497702</v>
      </c>
      <c r="Y87" s="31">
        <v>0.77694852042754237</v>
      </c>
      <c r="Z87" s="31">
        <v>0.72570189899165161</v>
      </c>
      <c r="AA87" s="31">
        <v>0.65965234836640085</v>
      </c>
      <c r="AB87" s="31">
        <v>0.57472383629594581</v>
      </c>
      <c r="AC87" s="31">
        <v>0.46675904165941162</v>
      </c>
      <c r="AD87" s="31">
        <v>0.33151935447098602</v>
      </c>
      <c r="AE87" s="31">
        <v>0.16468487587984809</v>
      </c>
      <c r="AF87" s="31">
        <v>-3.8145581829787098E-2</v>
      </c>
      <c r="AG87" s="31">
        <v>-0.28145449523868749</v>
      </c>
      <c r="AH87" s="32">
        <v>-0.56980562979262017</v>
      </c>
    </row>
    <row r="88" spans="1:34" x14ac:dyDescent="0.25">
      <c r="A88" s="30">
        <v>-95</v>
      </c>
      <c r="B88" s="31">
        <v>6.0706575408916539</v>
      </c>
      <c r="C88" s="31">
        <v>5.416371023694011</v>
      </c>
      <c r="D88" s="31">
        <v>4.8191057593787887</v>
      </c>
      <c r="E88" s="31">
        <v>4.276631368467509</v>
      </c>
      <c r="F88" s="31">
        <v>3.7866361826167081</v>
      </c>
      <c r="G88" s="31">
        <v>3.3467272446179419</v>
      </c>
      <c r="H88" s="31">
        <v>2.9544303083977961</v>
      </c>
      <c r="I88" s="31">
        <v>2.6071898390178601</v>
      </c>
      <c r="J88" s="31">
        <v>2.30236901267476</v>
      </c>
      <c r="K88" s="31">
        <v>2.0372497167001322</v>
      </c>
      <c r="L88" s="31">
        <v>1.8090325495606301</v>
      </c>
      <c r="M88" s="31">
        <v>1.614836820857936</v>
      </c>
      <c r="N88" s="31">
        <v>1.4517005513287431</v>
      </c>
      <c r="O88" s="31">
        <v>1.3165804728447701</v>
      </c>
      <c r="P88" s="31">
        <v>1.2063520284127589</v>
      </c>
      <c r="Q88" s="31">
        <v>1.11780937217446</v>
      </c>
      <c r="R88" s="31">
        <v>1.047665369406652</v>
      </c>
      <c r="S88" s="31">
        <v>0.99255159652112968</v>
      </c>
      <c r="T88" s="31">
        <v>0.94901834106470995</v>
      </c>
      <c r="U88" s="31">
        <v>0.9135346017192244</v>
      </c>
      <c r="V88" s="31">
        <v>0.88248808830153136</v>
      </c>
      <c r="W88" s="31">
        <v>0.85218522176351597</v>
      </c>
      <c r="X88" s="31">
        <v>0.81885113419205247</v>
      </c>
      <c r="Y88" s="31">
        <v>0.77862966880907458</v>
      </c>
      <c r="Z88" s="31">
        <v>0.72758337997150169</v>
      </c>
      <c r="AA88" s="31">
        <v>0.66169353317129875</v>
      </c>
      <c r="AB88" s="31">
        <v>0.57686010503543717</v>
      </c>
      <c r="AC88" s="31">
        <v>0.46890178332590798</v>
      </c>
      <c r="AD88" s="31">
        <v>0.33355596693972511</v>
      </c>
      <c r="AE88" s="31">
        <v>0.16647876590891639</v>
      </c>
      <c r="AF88" s="31">
        <v>-3.675499859945483E-2</v>
      </c>
      <c r="AG88" s="31">
        <v>-0.2806517942833136</v>
      </c>
      <c r="AH88" s="32">
        <v>-0.56979937770558564</v>
      </c>
    </row>
    <row r="89" spans="1:34" x14ac:dyDescent="0.25">
      <c r="A89" s="30">
        <v>-89</v>
      </c>
      <c r="B89" s="31">
        <v>6.112668423541324</v>
      </c>
      <c r="C89" s="31">
        <v>5.4528080020421266</v>
      </c>
      <c r="D89" s="31">
        <v>4.8504837078653873</v>
      </c>
      <c r="E89" s="31">
        <v>4.3034411704154767</v>
      </c>
      <c r="F89" s="31">
        <v>3.8093447302317762</v>
      </c>
      <c r="G89" s="31">
        <v>3.3657774389886832</v>
      </c>
      <c r="H89" s="31">
        <v>2.9702410594956268</v>
      </c>
      <c r="I89" s="31">
        <v>2.62015606569704</v>
      </c>
      <c r="J89" s="31">
        <v>2.312861642672392</v>
      </c>
      <c r="K89" s="31">
        <v>2.0456156866361632</v>
      </c>
      <c r="L89" s="31">
        <v>1.8155948049378481</v>
      </c>
      <c r="M89" s="31">
        <v>1.6198943160619761</v>
      </c>
      <c r="N89" s="31">
        <v>1.455528249628077</v>
      </c>
      <c r="O89" s="31">
        <v>1.319429346390723</v>
      </c>
      <c r="P89" s="31">
        <v>1.2084490582394869</v>
      </c>
      <c r="Q89" s="31">
        <v>1.1193575481989679</v>
      </c>
      <c r="R89" s="31">
        <v>1.048843690428789</v>
      </c>
      <c r="S89" s="31">
        <v>0.99351507022358931</v>
      </c>
      <c r="T89" s="31">
        <v>0.94989798401302628</v>
      </c>
      <c r="U89" s="31">
        <v>0.91443743936177535</v>
      </c>
      <c r="V89" s="31">
        <v>0.88349715496954007</v>
      </c>
      <c r="W89" s="31">
        <v>0.85335956067103969</v>
      </c>
      <c r="X89" s="31">
        <v>0.82022579743600665</v>
      </c>
      <c r="Y89" s="31">
        <v>0.78021571736920481</v>
      </c>
      <c r="Z89" s="31">
        <v>0.72936788371040695</v>
      </c>
      <c r="AA89" s="31">
        <v>0.66363957083440872</v>
      </c>
      <c r="AB89" s="31">
        <v>0.57890676425102949</v>
      </c>
      <c r="AC89" s="31">
        <v>0.47096416060512081</v>
      </c>
      <c r="AD89" s="31">
        <v>0.33552516767650958</v>
      </c>
      <c r="AE89" s="31">
        <v>0.16822190438009349</v>
      </c>
      <c r="AF89" s="31">
        <v>-3.5394799234237162E-2</v>
      </c>
      <c r="AG89" s="31">
        <v>-0.27985540198155873</v>
      </c>
      <c r="AH89" s="32">
        <v>-0.56977165154195575</v>
      </c>
    </row>
    <row r="90" spans="1:34" x14ac:dyDescent="0.25">
      <c r="A90" s="30">
        <v>-83</v>
      </c>
      <c r="B90" s="31">
        <v>6.155646498019129</v>
      </c>
      <c r="C90" s="31">
        <v>5.490125567646019</v>
      </c>
      <c r="D90" s="31">
        <v>4.8826593465541279</v>
      </c>
      <c r="E90" s="31">
        <v>4.3309694730306756</v>
      </c>
      <c r="F90" s="31">
        <v>3.8326962964978848</v>
      </c>
      <c r="G90" s="31">
        <v>3.3853988775129991</v>
      </c>
      <c r="H90" s="31">
        <v>2.986554987768284</v>
      </c>
      <c r="I90" s="31">
        <v>2.6335611100910241</v>
      </c>
      <c r="J90" s="31">
        <v>2.3237324384435238</v>
      </c>
      <c r="K90" s="31">
        <v>2.0543028779231109</v>
      </c>
      <c r="L90" s="31">
        <v>1.8224250447621211</v>
      </c>
      <c r="M90" s="31">
        <v>1.625170266327929</v>
      </c>
      <c r="N90" s="31">
        <v>1.459528581122906</v>
      </c>
      <c r="O90" s="31">
        <v>1.322408738784469</v>
      </c>
      <c r="P90" s="31">
        <v>1.210638200085034</v>
      </c>
      <c r="Q90" s="31">
        <v>1.120963136932043</v>
      </c>
      <c r="R90" s="31">
        <v>1.0500484323679591</v>
      </c>
      <c r="S90" s="31">
        <v>0.9944776805702682</v>
      </c>
      <c r="T90" s="31">
        <v>0.95075318685147314</v>
      </c>
      <c r="U90" s="31">
        <v>0.91529596765908616</v>
      </c>
      <c r="V90" s="31">
        <v>0.88444575057566088</v>
      </c>
      <c r="W90" s="31">
        <v>0.85446097431875012</v>
      </c>
      <c r="X90" s="31">
        <v>0.82151878874093853</v>
      </c>
      <c r="Y90" s="31">
        <v>0.78171505482982795</v>
      </c>
      <c r="Z90" s="31">
        <v>0.73106434470803638</v>
      </c>
      <c r="AA90" s="31">
        <v>0.66549994163320736</v>
      </c>
      <c r="AB90" s="31">
        <v>0.58087383999800668</v>
      </c>
      <c r="AC90" s="31">
        <v>0.47295674533010329</v>
      </c>
      <c r="AD90" s="31">
        <v>0.33743807429219791</v>
      </c>
      <c r="AE90" s="31">
        <v>0.16992595468201979</v>
      </c>
      <c r="AF90" s="31">
        <v>-3.4052774567709498E-2</v>
      </c>
      <c r="AG90" s="31">
        <v>-0.27905256338920381</v>
      </c>
      <c r="AH90" s="32">
        <v>-0.56970915057971183</v>
      </c>
    </row>
    <row r="91" spans="1:34" x14ac:dyDescent="0.25">
      <c r="A91" s="30">
        <v>-76</v>
      </c>
      <c r="B91" s="31">
        <v>6.2070041670534506</v>
      </c>
      <c r="C91" s="31">
        <v>5.534770579228887</v>
      </c>
      <c r="D91" s="31">
        <v>4.9212013988624994</v>
      </c>
      <c r="E91" s="31">
        <v>4.3639902746048023</v>
      </c>
      <c r="F91" s="31">
        <v>3.8607495662413429</v>
      </c>
      <c r="G91" s="31">
        <v>3.4090103446926872</v>
      </c>
      <c r="H91" s="31">
        <v>3.0062223920144131</v>
      </c>
      <c r="I91" s="31">
        <v>2.6497542013971209</v>
      </c>
      <c r="J91" s="31">
        <v>2.336892977166432</v>
      </c>
      <c r="K91" s="31">
        <v>2.0648446347829958</v>
      </c>
      <c r="L91" s="31">
        <v>1.8307338008424641</v>
      </c>
      <c r="M91" s="31">
        <v>1.6316038130755239</v>
      </c>
      <c r="N91" s="31">
        <v>1.46441672034787</v>
      </c>
      <c r="O91" s="31">
        <v>1.32605328266023</v>
      </c>
      <c r="P91" s="31">
        <v>1.213312971148341</v>
      </c>
      <c r="Q91" s="31">
        <v>1.122913968082959</v>
      </c>
      <c r="R91" s="31">
        <v>1.051493166869869</v>
      </c>
      <c r="S91" s="31">
        <v>0.99560617204986923</v>
      </c>
      <c r="T91" s="31">
        <v>0.95172729929878086</v>
      </c>
      <c r="U91" s="31">
        <v>0.91624957542743557</v>
      </c>
      <c r="V91" s="31">
        <v>0.88548473838169661</v>
      </c>
      <c r="W91" s="31">
        <v>0.85566323724244653</v>
      </c>
      <c r="X91" s="31">
        <v>0.82293423222557938</v>
      </c>
      <c r="Y91" s="31">
        <v>0.78336559468201394</v>
      </c>
      <c r="Z91" s="31">
        <v>0.73294390709768931</v>
      </c>
      <c r="AA91" s="31">
        <v>0.66757446309355661</v>
      </c>
      <c r="AB91" s="31">
        <v>0.58308126742559718</v>
      </c>
      <c r="AC91" s="31">
        <v>0.47520703598481823</v>
      </c>
      <c r="AD91" s="31">
        <v>0.33961319579722032</v>
      </c>
      <c r="AE91" s="31">
        <v>0.17187988502384499</v>
      </c>
      <c r="AF91" s="31">
        <v>-3.2494047039251371E-2</v>
      </c>
      <c r="AG91" s="31">
        <v>-0.27809103996098022</v>
      </c>
      <c r="AH91" s="32">
        <v>-0.56957482217526589</v>
      </c>
    </row>
    <row r="92" spans="1:34" x14ac:dyDescent="0.25">
      <c r="A92" s="30">
        <v>-70</v>
      </c>
      <c r="B92" s="31">
        <v>6.2520625598172446</v>
      </c>
      <c r="C92" s="31">
        <v>5.5739826921996967</v>
      </c>
      <c r="D92" s="31">
        <v>4.9550938469563164</v>
      </c>
      <c r="E92" s="31">
        <v>4.3930656816204703</v>
      </c>
      <c r="F92" s="31">
        <v>3.8854865648605439</v>
      </c>
      <c r="G92" s="31">
        <v>3.429863576479939</v>
      </c>
      <c r="H92" s="31">
        <v>3.023622507417087</v>
      </c>
      <c r="I92" s="31">
        <v>2.664107859745426</v>
      </c>
      <c r="J92" s="31">
        <v>2.3485828466734269</v>
      </c>
      <c r="K92" s="31">
        <v>2.0742293925445718</v>
      </c>
      <c r="L92" s="31">
        <v>1.838148132837365</v>
      </c>
      <c r="M92" s="31">
        <v>1.637358414165331</v>
      </c>
      <c r="N92" s="31">
        <v>1.468798294277013</v>
      </c>
      <c r="O92" s="31">
        <v>1.3293245420559729</v>
      </c>
      <c r="P92" s="31">
        <v>1.2157126375208009</v>
      </c>
      <c r="Q92" s="31">
        <v>1.1246567718250939</v>
      </c>
      <c r="R92" s="31">
        <v>1.0527698472574749</v>
      </c>
      <c r="S92" s="31">
        <v>0.9965834772415898</v>
      </c>
      <c r="T92" s="31">
        <v>0.95254798633610049</v>
      </c>
      <c r="U92" s="31">
        <v>0.91703241023468474</v>
      </c>
      <c r="V92" s="31">
        <v>0.88632449576605021</v>
      </c>
      <c r="W92" s="31">
        <v>0.85663070089391846</v>
      </c>
      <c r="X92" s="31">
        <v>0.82407619471701998</v>
      </c>
      <c r="Y92" s="31">
        <v>0.78470485746913177</v>
      </c>
      <c r="Z92" s="31">
        <v>0.73447928051902522</v>
      </c>
      <c r="AA92" s="31">
        <v>0.66928076637050349</v>
      </c>
      <c r="AB92" s="31">
        <v>0.58490932866239587</v>
      </c>
      <c r="AC92" s="31">
        <v>0.47708369216852198</v>
      </c>
      <c r="AD92" s="31">
        <v>0.34144129279776442</v>
      </c>
      <c r="AE92" s="31">
        <v>0.17353827759397869</v>
      </c>
      <c r="AF92" s="31">
        <v>-3.1150495263914502E-2</v>
      </c>
      <c r="AG92" s="31">
        <v>-0.2772314564620047</v>
      </c>
      <c r="AH92" s="32">
        <v>-0.56939232555135</v>
      </c>
    </row>
    <row r="93" spans="1:34" x14ac:dyDescent="0.25">
      <c r="A93" s="30">
        <v>-64</v>
      </c>
      <c r="B93" s="31">
        <v>6.2980736028933082</v>
      </c>
      <c r="C93" s="31">
        <v>5.6140625792067622</v>
      </c>
      <c r="D93" s="31">
        <v>4.989772900329096</v>
      </c>
      <c r="E93" s="31">
        <v>4.422850232676522</v>
      </c>
      <c r="F93" s="31">
        <v>3.9108589538002709</v>
      </c>
      <c r="G93" s="31">
        <v>3.45128215238659</v>
      </c>
      <c r="H93" s="31">
        <v>3.0415216282567479</v>
      </c>
      <c r="I93" s="31">
        <v>2.678897892367031</v>
      </c>
      <c r="J93" s="31">
        <v>2.3606501668087492</v>
      </c>
      <c r="K93" s="31">
        <v>2.0839363848082328</v>
      </c>
      <c r="L93" s="31">
        <v>1.8458331907268231</v>
      </c>
      <c r="M93" s="31">
        <v>1.643335940060894</v>
      </c>
      <c r="N93" s="31">
        <v>1.4733586994418251</v>
      </c>
      <c r="O93" s="31">
        <v>1.332734246636029</v>
      </c>
      <c r="P93" s="31">
        <v>1.218214070544932</v>
      </c>
      <c r="Q93" s="31">
        <v>1.1264683712049799</v>
      </c>
      <c r="R93" s="31">
        <v>1.0540860597876369</v>
      </c>
      <c r="S93" s="31">
        <v>0.99757475859938949</v>
      </c>
      <c r="T93" s="31">
        <v>0.95336080108175014</v>
      </c>
      <c r="U93" s="31">
        <v>0.91778923181122996</v>
      </c>
      <c r="V93" s="31">
        <v>0.88712380649938205</v>
      </c>
      <c r="W93" s="31">
        <v>0.85754699199277806</v>
      </c>
      <c r="X93" s="31">
        <v>0.82515996627299049</v>
      </c>
      <c r="Y93" s="31">
        <v>0.78598261845663031</v>
      </c>
      <c r="Z93" s="31">
        <v>0.73595354879531882</v>
      </c>
      <c r="AA93" s="31">
        <v>0.6709300686756976</v>
      </c>
      <c r="AB93" s="31">
        <v>0.58668820061944227</v>
      </c>
      <c r="AC93" s="31">
        <v>0.47892267828323282</v>
      </c>
      <c r="AD93" s="31">
        <v>0.34324694645875348</v>
      </c>
      <c r="AE93" s="31">
        <v>0.1751931610727499</v>
      </c>
      <c r="AF93" s="31">
        <v>-2.9787810813048411E-2</v>
      </c>
      <c r="AG93" s="31">
        <v>-0.27632639100186468</v>
      </c>
      <c r="AH93" s="32">
        <v>-0.56913429016193695</v>
      </c>
    </row>
    <row r="94" spans="1:34" x14ac:dyDescent="0.25">
      <c r="A94" s="30">
        <v>-58</v>
      </c>
      <c r="B94" s="31">
        <v>6.345032276333658</v>
      </c>
      <c r="C94" s="31">
        <v>5.6550057660798796</v>
      </c>
      <c r="D94" s="31">
        <v>5.0252346305884217</v>
      </c>
      <c r="E94" s="31">
        <v>4.453340545158337</v>
      </c>
      <c r="F94" s="31">
        <v>3.9368638962237021</v>
      </c>
      <c r="G94" s="31">
        <v>3.4732637813535971</v>
      </c>
      <c r="H94" s="31">
        <v>3.0599180092521472</v>
      </c>
      <c r="I94" s="31">
        <v>2.6941230997584751</v>
      </c>
      <c r="J94" s="31">
        <v>2.373094283846731</v>
      </c>
      <c r="K94" s="31">
        <v>2.0939655036260958</v>
      </c>
      <c r="L94" s="31">
        <v>1.853789412340749</v>
      </c>
      <c r="M94" s="31">
        <v>1.6495373743699091</v>
      </c>
      <c r="N94" s="31">
        <v>1.4780994652277979</v>
      </c>
      <c r="O94" s="31">
        <v>1.3362844715636759</v>
      </c>
      <c r="P94" s="31">
        <v>1.2208198911618069</v>
      </c>
      <c r="Q94" s="31">
        <v>1.1283519329414791</v>
      </c>
      <c r="R94" s="31">
        <v>1.0554455169570029</v>
      </c>
      <c r="S94" s="31">
        <v>0.99858427439771136</v>
      </c>
      <c r="T94" s="31">
        <v>0.95417054758795183</v>
      </c>
      <c r="U94" s="31">
        <v>0.91852538998708222</v>
      </c>
      <c r="V94" s="31">
        <v>0.88788856618950951</v>
      </c>
      <c r="W94" s="31">
        <v>0.85841855192462602</v>
      </c>
      <c r="X94" s="31">
        <v>0.82619253405686888</v>
      </c>
      <c r="Y94" s="31">
        <v>0.78720641058568308</v>
      </c>
      <c r="Z94" s="31">
        <v>0.73737479064552869</v>
      </c>
      <c r="AA94" s="31">
        <v>0.67253099450589993</v>
      </c>
      <c r="AB94" s="31">
        <v>0.58842705357131475</v>
      </c>
      <c r="AC94" s="31">
        <v>0.4807337103812781</v>
      </c>
      <c r="AD94" s="31">
        <v>0.3450404186103509</v>
      </c>
      <c r="AE94" s="31">
        <v>0.1768553430680857</v>
      </c>
      <c r="AF94" s="31">
        <v>-2.839464030091229E-2</v>
      </c>
      <c r="AG94" s="31">
        <v>-0.27536394441704809</v>
      </c>
      <c r="AH94" s="32">
        <v>-0.56878827106570118</v>
      </c>
    </row>
    <row r="95" spans="1:34" x14ac:dyDescent="0.25">
      <c r="A95" s="30">
        <v>-51</v>
      </c>
      <c r="B95" s="31">
        <v>6.4010081122728426</v>
      </c>
      <c r="C95" s="31">
        <v>5.703857678102441</v>
      </c>
      <c r="D95" s="31">
        <v>5.0675903395317503</v>
      </c>
      <c r="E95" s="31">
        <v>4.4897997822231481</v>
      </c>
      <c r="F95" s="31">
        <v>3.9679984029740178</v>
      </c>
      <c r="G95" s="31">
        <v>3.4996173097167689</v>
      </c>
      <c r="H95" s="31">
        <v>3.0820063215188358</v>
      </c>
      <c r="I95" s="31">
        <v>2.712433968582658</v>
      </c>
      <c r="J95" s="31">
        <v>2.3880874922457092</v>
      </c>
      <c r="K95" s="31">
        <v>2.1060728449804791</v>
      </c>
      <c r="L95" s="31">
        <v>1.8634146903944699</v>
      </c>
      <c r="M95" s="31">
        <v>1.6570564032302151</v>
      </c>
      <c r="N95" s="31">
        <v>1.4838600693652559</v>
      </c>
      <c r="O95" s="31">
        <v>1.340606485812166</v>
      </c>
      <c r="P95" s="31">
        <v>1.2239951607185271</v>
      </c>
      <c r="Q95" s="31">
        <v>1.130644313366947</v>
      </c>
      <c r="R95" s="31">
        <v>1.0570908741750531</v>
      </c>
      <c r="S95" s="31">
        <v>0.99979048469549114</v>
      </c>
      <c r="T95" s="31">
        <v>0.9551174976159289</v>
      </c>
      <c r="U95" s="31">
        <v>0.91936497675904461</v>
      </c>
      <c r="V95" s="31">
        <v>0.88874469708255199</v>
      </c>
      <c r="W95" s="31">
        <v>0.85938714467917299</v>
      </c>
      <c r="X95" s="31">
        <v>0.82734151677665213</v>
      </c>
      <c r="Y95" s="31">
        <v>0.78857572173775115</v>
      </c>
      <c r="Z95" s="31">
        <v>0.73897637906026326</v>
      </c>
      <c r="AA95" s="31">
        <v>0.6743488193769861</v>
      </c>
      <c r="AB95" s="31">
        <v>0.59041708445574137</v>
      </c>
      <c r="AC95" s="31">
        <v>0.48282392719938211</v>
      </c>
      <c r="AD95" s="31">
        <v>0.34713081164575138</v>
      </c>
      <c r="AE95" s="31">
        <v>0.17881791296775171</v>
      </c>
      <c r="AF95" s="31">
        <v>-2.6715882526716851E-2</v>
      </c>
      <c r="AG95" s="31">
        <v>-0.27415297739472783</v>
      </c>
      <c r="AH95" s="32">
        <v>-0.56825706305834867</v>
      </c>
    </row>
    <row r="96" spans="1:34" x14ac:dyDescent="0.25">
      <c r="A96" s="30">
        <v>-45</v>
      </c>
      <c r="B96" s="31">
        <v>6.4500017850242042</v>
      </c>
      <c r="C96" s="31">
        <v>5.7466550205281113</v>
      </c>
      <c r="D96" s="31">
        <v>5.1047334145423946</v>
      </c>
      <c r="E96" s="31">
        <v>4.5218066616122803</v>
      </c>
      <c r="F96" s="31">
        <v>3.9953631674179899</v>
      </c>
      <c r="G96" s="31">
        <v>3.5228100487747782</v>
      </c>
      <c r="H96" s="31">
        <v>3.1014731336329202</v>
      </c>
      <c r="I96" s="31">
        <v>2.7285969610777041</v>
      </c>
      <c r="J96" s="31">
        <v>2.4013447813294411</v>
      </c>
      <c r="K96" s="31">
        <v>2.116798555743467</v>
      </c>
      <c r="L96" s="31">
        <v>1.871958956810126</v>
      </c>
      <c r="M96" s="31">
        <v>1.663745368154796</v>
      </c>
      <c r="N96" s="31">
        <v>1.4889958845378579</v>
      </c>
      <c r="O96" s="31">
        <v>1.344467311854731</v>
      </c>
      <c r="P96" s="31">
        <v>1.2268351671358459</v>
      </c>
      <c r="Q96" s="31">
        <v>1.132693678546647</v>
      </c>
      <c r="R96" s="31">
        <v>1.0585557853876031</v>
      </c>
      <c r="S96" s="31">
        <v>1.000853138094207</v>
      </c>
      <c r="T96" s="31">
        <v>0.95593609823696857</v>
      </c>
      <c r="U96" s="31">
        <v>0.9200737385214065</v>
      </c>
      <c r="V96" s="31">
        <v>0.88945384278808726</v>
      </c>
      <c r="W96" s="31">
        <v>0.86018290601256397</v>
      </c>
      <c r="X96" s="31">
        <v>0.82828613430543008</v>
      </c>
      <c r="Y96" s="31">
        <v>0.78970744491229605</v>
      </c>
      <c r="Z96" s="31">
        <v>0.74030946621378735</v>
      </c>
      <c r="AA96" s="31">
        <v>0.6758735377255487</v>
      </c>
      <c r="AB96" s="31">
        <v>0.59209971009825058</v>
      </c>
      <c r="AC96" s="31">
        <v>0.48460674511757601</v>
      </c>
      <c r="AD96" s="31">
        <v>0.34893211570423871</v>
      </c>
      <c r="AE96" s="31">
        <v>0.1805320059139533</v>
      </c>
      <c r="AF96" s="31">
        <v>-2.5218689062520561E-2</v>
      </c>
      <c r="AG96" s="31">
        <v>-0.27302636289942411</v>
      </c>
      <c r="AH96" s="32">
        <v>-0.56767869813598359</v>
      </c>
    </row>
    <row r="97" spans="1:34" x14ac:dyDescent="0.25">
      <c r="A97" s="30">
        <v>-39</v>
      </c>
      <c r="B97" s="31">
        <v>6.4999258366517179</v>
      </c>
      <c r="C97" s="31">
        <v>5.7903001396280418</v>
      </c>
      <c r="D97" s="31">
        <v>5.1426453715441323</v>
      </c>
      <c r="E97" s="31">
        <v>4.5545072358280541</v>
      </c>
      <c r="F97" s="31">
        <v>4.0233501470428781</v>
      </c>
      <c r="G97" s="31">
        <v>3.5465572308866951</v>
      </c>
      <c r="H97" s="31">
        <v>3.1214303241926311</v>
      </c>
      <c r="I97" s="31">
        <v>2.7451899749288109</v>
      </c>
      <c r="J97" s="31">
        <v>2.414975442198394</v>
      </c>
      <c r="K97" s="31">
        <v>2.1278446962395541</v>
      </c>
      <c r="L97" s="31">
        <v>1.880774418425484</v>
      </c>
      <c r="M97" s="31">
        <v>1.6706600012644</v>
      </c>
      <c r="N97" s="31">
        <v>1.4943155483995301</v>
      </c>
      <c r="O97" s="31">
        <v>1.348473874609134</v>
      </c>
      <c r="P97" s="31">
        <v>1.229786505806485</v>
      </c>
      <c r="Q97" s="31">
        <v>1.1348236790398729</v>
      </c>
      <c r="R97" s="31">
        <v>1.06007434249261</v>
      </c>
      <c r="S97" s="31">
        <v>1.001946155483032</v>
      </c>
      <c r="T97" s="31">
        <v>0.95676548846448972</v>
      </c>
      <c r="U97" s="31">
        <v>0.92077742302534893</v>
      </c>
      <c r="V97" s="31">
        <v>0.8901457518890098</v>
      </c>
      <c r="W97" s="31">
        <v>0.86095297891388578</v>
      </c>
      <c r="X97" s="31">
        <v>0.82920031909339798</v>
      </c>
      <c r="Y97" s="31">
        <v>0.79080769855600419</v>
      </c>
      <c r="Z97" s="31">
        <v>0.74161375456517231</v>
      </c>
      <c r="AA97" s="31">
        <v>0.6773758355193974</v>
      </c>
      <c r="AB97" s="31">
        <v>0.59377000095218613</v>
      </c>
      <c r="AC97" s="31">
        <v>0.48639102153207148</v>
      </c>
      <c r="AD97" s="31">
        <v>0.35075237906259821</v>
      </c>
      <c r="AE97" s="31">
        <v>0.18228626648233451</v>
      </c>
      <c r="AF97" s="31">
        <v>-2.3656412135120548E-2</v>
      </c>
      <c r="AG97" s="31">
        <v>-0.27180604158116323</v>
      </c>
      <c r="AH97" s="32">
        <v>-0.56697429551217304</v>
      </c>
    </row>
    <row r="98" spans="1:34" x14ac:dyDescent="0.25">
      <c r="A98" s="30">
        <v>-33</v>
      </c>
      <c r="B98" s="31">
        <v>6.5507743914266703</v>
      </c>
      <c r="C98" s="31">
        <v>5.8347877054513102</v>
      </c>
      <c r="D98" s="31">
        <v>5.1813214263638292</v>
      </c>
      <c r="E98" s="31">
        <v>4.5878972664751307</v>
      </c>
      <c r="F98" s="31">
        <v>4.0519556492311306</v>
      </c>
      <c r="G98" s="31">
        <v>3.5708557092127671</v>
      </c>
      <c r="H98" s="31">
        <v>3.1418752921359991</v>
      </c>
      <c r="I98" s="31">
        <v>2.762210954851803</v>
      </c>
      <c r="J98" s="31">
        <v>2.4289779653461792</v>
      </c>
      <c r="K98" s="31">
        <v>2.1392103027401448</v>
      </c>
      <c r="L98" s="31">
        <v>1.8898606572897361</v>
      </c>
      <c r="M98" s="31">
        <v>1.6778004303860119</v>
      </c>
      <c r="N98" s="31">
        <v>1.499819734555043</v>
      </c>
      <c r="O98" s="31">
        <v>1.352627393457936</v>
      </c>
      <c r="P98" s="31">
        <v>1.2328509418908</v>
      </c>
      <c r="Q98" s="31">
        <v>1.137036625784775</v>
      </c>
      <c r="R98" s="31">
        <v>1.061649402206011</v>
      </c>
      <c r="S98" s="31">
        <v>1.003072939355691</v>
      </c>
      <c r="T98" s="31">
        <v>0.95760961657000865</v>
      </c>
      <c r="U98" s="31">
        <v>0.92148052432017069</v>
      </c>
      <c r="V98" s="31">
        <v>0.8908254642124267</v>
      </c>
      <c r="W98" s="31">
        <v>0.86170294898801703</v>
      </c>
      <c r="X98" s="31">
        <v>0.83009020252322407</v>
      </c>
      <c r="Y98" s="31">
        <v>0.79188315982934665</v>
      </c>
      <c r="Z98" s="31">
        <v>0.74289646705268642</v>
      </c>
      <c r="AA98" s="31">
        <v>0.67886348147457909</v>
      </c>
      <c r="AB98" s="31">
        <v>0.59543627151139689</v>
      </c>
      <c r="AC98" s="31">
        <v>0.48818561671449079</v>
      </c>
      <c r="AD98" s="31">
        <v>0.35260100777025899</v>
      </c>
      <c r="AE98" s="31">
        <v>0.18409064650011339</v>
      </c>
      <c r="AF98" s="31">
        <v>-2.201855413950235E-2</v>
      </c>
      <c r="AG98" s="31">
        <v>-0.27048097005714672</v>
      </c>
      <c r="AH98" s="32">
        <v>-0.56613226602634559</v>
      </c>
    </row>
    <row r="99" spans="1:34" x14ac:dyDescent="0.25">
      <c r="A99" s="30">
        <v>-26</v>
      </c>
      <c r="B99" s="31">
        <v>6.6112580503225598</v>
      </c>
      <c r="C99" s="31">
        <v>5.8877472284923993</v>
      </c>
      <c r="D99" s="31">
        <v>5.2274025570479639</v>
      </c>
      <c r="E99" s="31">
        <v>4.6277177586634712</v>
      </c>
      <c r="F99" s="31">
        <v>4.0861052671481577</v>
      </c>
      <c r="G99" s="31">
        <v>3.5998962274462749</v>
      </c>
      <c r="H99" s="31">
        <v>3.1663404956371068</v>
      </c>
      <c r="I99" s="31">
        <v>2.7826066389349369</v>
      </c>
      <c r="J99" s="31">
        <v>2.44578193568909</v>
      </c>
      <c r="K99" s="31">
        <v>2.1528723753838972</v>
      </c>
      <c r="L99" s="31">
        <v>1.900802658638709</v>
      </c>
      <c r="M99" s="31">
        <v>1.6864161972079059</v>
      </c>
      <c r="N99" s="31">
        <v>1.506475113980875</v>
      </c>
      <c r="O99" s="31">
        <v>1.3576602429820379</v>
      </c>
      <c r="P99" s="31">
        <v>1.2365711293708239</v>
      </c>
      <c r="Q99" s="31">
        <v>1.139726029441684</v>
      </c>
      <c r="R99" s="31">
        <v>1.0635619106240961</v>
      </c>
      <c r="S99" s="31">
        <v>1.0044344514825501</v>
      </c>
      <c r="T99" s="31">
        <v>0.95861804171655829</v>
      </c>
      <c r="U99" s="31">
        <v>0.92230578216065107</v>
      </c>
      <c r="V99" s="31">
        <v>0.89160948478438173</v>
      </c>
      <c r="W99" s="31">
        <v>0.86255967269232514</v>
      </c>
      <c r="X99" s="31">
        <v>0.83110558012406788</v>
      </c>
      <c r="Y99" s="31">
        <v>0.7931151524542307</v>
      </c>
      <c r="Z99" s="31">
        <v>0.74437504619242745</v>
      </c>
      <c r="AA99" s="31">
        <v>0.68059062898332112</v>
      </c>
      <c r="AB99" s="31">
        <v>0.59738597960658257</v>
      </c>
      <c r="AC99" s="31">
        <v>0.49030388797691232</v>
      </c>
      <c r="AD99" s="31">
        <v>0.35480585514398483</v>
      </c>
      <c r="AE99" s="31">
        <v>0.18627209329256009</v>
      </c>
      <c r="AF99" s="31">
        <v>-1.9998474257611171E-2</v>
      </c>
      <c r="AG99" s="31">
        <v>-0.26878821305177419</v>
      </c>
      <c r="AH99" s="32">
        <v>-0.56496077750013107</v>
      </c>
    </row>
    <row r="100" spans="1:34" x14ac:dyDescent="0.25">
      <c r="A100" s="30">
        <v>-20</v>
      </c>
      <c r="B100" s="31">
        <v>6.6640885596354238</v>
      </c>
      <c r="C100" s="31">
        <v>5.9340408322557217</v>
      </c>
      <c r="D100" s="31">
        <v>5.2677167661670889</v>
      </c>
      <c r="E100" s="31">
        <v>4.6625860929265839</v>
      </c>
      <c r="F100" s="31">
        <v>4.1160372552262796</v>
      </c>
      <c r="G100" s="31">
        <v>3.6253774068932798</v>
      </c>
      <c r="H100" s="31">
        <v>3.1878324128897031</v>
      </c>
      <c r="I100" s="31">
        <v>2.8005468493126831</v>
      </c>
      <c r="J100" s="31">
        <v>2.4605840033943789</v>
      </c>
      <c r="K100" s="31">
        <v>2.164925873501975</v>
      </c>
      <c r="L100" s="31">
        <v>1.910473169137662</v>
      </c>
      <c r="M100" s="31">
        <v>1.6940453109386611</v>
      </c>
      <c r="N100" s="31">
        <v>1.512380430677202</v>
      </c>
      <c r="O100" s="31">
        <v>1.362135371260554</v>
      </c>
      <c r="P100" s="31">
        <v>1.239885686730986</v>
      </c>
      <c r="Q100" s="31">
        <v>1.1421256422657931</v>
      </c>
      <c r="R100" s="31">
        <v>1.065268214177296</v>
      </c>
      <c r="S100" s="31">
        <v>1.005645089912828</v>
      </c>
      <c r="T100" s="31">
        <v>0.95950666805474616</v>
      </c>
      <c r="U100" s="31">
        <v>0.92302205832041939</v>
      </c>
      <c r="V100" s="31">
        <v>0.89227908156224989</v>
      </c>
      <c r="W100" s="31">
        <v>0.86328426976765649</v>
      </c>
      <c r="X100" s="31">
        <v>0.83196286605905878</v>
      </c>
      <c r="Y100" s="31">
        <v>0.79415882469393217</v>
      </c>
      <c r="Z100" s="31">
        <v>0.74563481106472917</v>
      </c>
      <c r="AA100" s="31">
        <v>0.68207220169895566</v>
      </c>
      <c r="AB100" s="31">
        <v>0.59907108425912881</v>
      </c>
      <c r="AC100" s="31">
        <v>0.4921502575427717</v>
      </c>
      <c r="AD100" s="31">
        <v>0.35674723148244603</v>
      </c>
      <c r="AE100" s="31">
        <v>0.18821822714571829</v>
      </c>
      <c r="AF100" s="31">
        <v>-1.8161823264816392E-2</v>
      </c>
      <c r="AG100" s="31">
        <v>-0.26719927641154229</v>
      </c>
      <c r="AH100" s="32">
        <v>-0.56378177782183236</v>
      </c>
    </row>
    <row r="101" spans="1:34" x14ac:dyDescent="0.25">
      <c r="A101" s="30">
        <v>-14</v>
      </c>
      <c r="B101" s="31">
        <v>6.7178236106353344</v>
      </c>
      <c r="C101" s="31">
        <v>5.9811586495783304</v>
      </c>
      <c r="D101" s="31">
        <v>5.3087785682364572</v>
      </c>
      <c r="E101" s="31">
        <v>4.6981291070496134</v>
      </c>
      <c r="F101" s="31">
        <v>4.1465747175927223</v>
      </c>
      <c r="G101" s="31">
        <v>3.6513985625757202</v>
      </c>
      <c r="H101" s="31">
        <v>3.209802515843577</v>
      </c>
      <c r="I101" s="31">
        <v>2.8189071623762709</v>
      </c>
      <c r="J101" s="31">
        <v>2.475751798288798</v>
      </c>
      <c r="K101" s="31">
        <v>2.177294430831191</v>
      </c>
      <c r="L101" s="31">
        <v>1.9204117783884771</v>
      </c>
      <c r="M101" s="31">
        <v>1.7018992704807281</v>
      </c>
      <c r="N101" s="31">
        <v>1.518471047763015</v>
      </c>
      <c r="O101" s="31">
        <v>1.3667599620254449</v>
      </c>
      <c r="P101" s="31">
        <v>1.243317576193135</v>
      </c>
      <c r="Q101" s="31">
        <v>1.1446141643262251</v>
      </c>
      <c r="R101" s="31">
        <v>1.067038711619873</v>
      </c>
      <c r="S101" s="31">
        <v>1.0068989144042619</v>
      </c>
      <c r="T101" s="31">
        <v>0.96042118014458777</v>
      </c>
      <c r="U101" s="31">
        <v>0.92375062744106406</v>
      </c>
      <c r="V101" s="31">
        <v>0.89295108602893813</v>
      </c>
      <c r="W101" s="31">
        <v>0.86400509677846371</v>
      </c>
      <c r="X101" s="31">
        <v>0.83281391169491648</v>
      </c>
      <c r="Y101" s="31">
        <v>0.79519749391859829</v>
      </c>
      <c r="Z101" s="31">
        <v>0.74689451772482751</v>
      </c>
      <c r="AA101" s="31">
        <v>0.68356236852393504</v>
      </c>
      <c r="AB101" s="31">
        <v>0.60077714286128703</v>
      </c>
      <c r="AC101" s="31">
        <v>0.494033648417254</v>
      </c>
      <c r="AD101" s="31">
        <v>0.35874540400722671</v>
      </c>
      <c r="AE101" s="31">
        <v>0.19024463958162491</v>
      </c>
      <c r="AF101" s="31">
        <v>-1.6217703774116479E-2</v>
      </c>
      <c r="AG101" s="31">
        <v>-0.26547197383952081</v>
      </c>
      <c r="AH101" s="32">
        <v>-0.56242980725914116</v>
      </c>
    </row>
    <row r="102" spans="1:34" x14ac:dyDescent="0.25">
      <c r="A102" s="30">
        <v>-8</v>
      </c>
      <c r="B102" s="31">
        <v>6.7724564718128581</v>
      </c>
      <c r="C102" s="31">
        <v>6.0290944947285814</v>
      </c>
      <c r="D102" s="31">
        <v>5.3505823233022127</v>
      </c>
      <c r="E102" s="31">
        <v>4.7343417068565001</v>
      </c>
      <c r="F102" s="31">
        <v>4.1777131058492101</v>
      </c>
      <c r="G102" s="31">
        <v>3.67795569187312</v>
      </c>
      <c r="H102" s="31">
        <v>3.2322473476560432</v>
      </c>
      <c r="I102" s="31">
        <v>2.8376846670608011</v>
      </c>
      <c r="J102" s="31">
        <v>2.491282955085238</v>
      </c>
      <c r="K102" s="31">
        <v>2.1899762278622199</v>
      </c>
      <c r="L102" s="31">
        <v>1.9306172126596279</v>
      </c>
      <c r="M102" s="31">
        <v>1.7099773478803679</v>
      </c>
      <c r="N102" s="31">
        <v>1.5247467830623589</v>
      </c>
      <c r="O102" s="31">
        <v>1.371534378878551</v>
      </c>
      <c r="P102" s="31">
        <v>1.246867707136905</v>
      </c>
      <c r="Q102" s="31">
        <v>1.147193050780402</v>
      </c>
      <c r="R102" s="31">
        <v>1.0688754038870441</v>
      </c>
      <c r="S102" s="31">
        <v>1.008198471669856</v>
      </c>
      <c r="T102" s="31">
        <v>0.96136467047687502</v>
      </c>
      <c r="U102" s="31">
        <v>0.92449512779116505</v>
      </c>
      <c r="V102" s="31">
        <v>0.89362968223081074</v>
      </c>
      <c r="W102" s="31">
        <v>0.86472688354891547</v>
      </c>
      <c r="X102" s="31">
        <v>0.83366399263359092</v>
      </c>
      <c r="Y102" s="31">
        <v>0.79623698150798983</v>
      </c>
      <c r="Z102" s="31">
        <v>0.74816053333025856</v>
      </c>
      <c r="AA102" s="31">
        <v>0.68506804239358299</v>
      </c>
      <c r="AB102" s="31">
        <v>0.60251161412616916</v>
      </c>
      <c r="AC102" s="31">
        <v>0.49596206509123758</v>
      </c>
      <c r="AD102" s="31">
        <v>0.36080892298701689</v>
      </c>
      <c r="AE102" s="31">
        <v>0.1923604266467738</v>
      </c>
      <c r="AF102" s="31">
        <v>-1.4156473961217639E-2</v>
      </c>
      <c r="AG102" s="31">
        <v>-0.26359611773364833</v>
      </c>
      <c r="AH102" s="32">
        <v>-0.56089413243221564</v>
      </c>
    </row>
    <row r="103" spans="1:34" x14ac:dyDescent="0.25">
      <c r="A103" s="30">
        <v>-1</v>
      </c>
      <c r="B103" s="31">
        <v>6.8373202761958378</v>
      </c>
      <c r="C103" s="31">
        <v>6.0860450058455848</v>
      </c>
      <c r="D103" s="31">
        <v>5.4002833073115424</v>
      </c>
      <c r="E103" s="31">
        <v>4.7774289402797638</v>
      </c>
      <c r="F103" s="31">
        <v>4.2147943755713477</v>
      </c>
      <c r="G103" s="31">
        <v>3.709610795142372</v>
      </c>
      <c r="H103" s="31">
        <v>3.259028092083978</v>
      </c>
      <c r="I103" s="31">
        <v>2.860114870622299</v>
      </c>
      <c r="J103" s="31">
        <v>2.5098584461184958</v>
      </c>
      <c r="K103" s="31">
        <v>2.205164845068758</v>
      </c>
      <c r="L103" s="31">
        <v>1.9428588051042781</v>
      </c>
      <c r="M103" s="31">
        <v>1.7196837749912799</v>
      </c>
      <c r="N103" s="31">
        <v>1.532301914631</v>
      </c>
      <c r="O103" s="31">
        <v>1.377294095059705</v>
      </c>
      <c r="P103" s="31">
        <v>1.2511598984486749</v>
      </c>
      <c r="Q103" s="31">
        <v>1.1503176181042001</v>
      </c>
      <c r="R103" s="31">
        <v>1.0711042584676129</v>
      </c>
      <c r="S103" s="31">
        <v>1.009775535115242</v>
      </c>
      <c r="T103" s="31">
        <v>0.96250587475845684</v>
      </c>
      <c r="U103" s="31">
        <v>0.92538841524362725</v>
      </c>
      <c r="V103" s="31">
        <v>0.89443500555214794</v>
      </c>
      <c r="W103" s="31">
        <v>0.86557620580045025</v>
      </c>
      <c r="X103" s="31">
        <v>0.83466128723996746</v>
      </c>
      <c r="Y103" s="31">
        <v>0.79745823225715451</v>
      </c>
      <c r="Z103" s="31">
        <v>0.74965373437349048</v>
      </c>
      <c r="AA103" s="31">
        <v>0.68685319824547098</v>
      </c>
      <c r="AB103" s="31">
        <v>0.60458073966461889</v>
      </c>
      <c r="AC103" s="31">
        <v>0.4982791855574718</v>
      </c>
      <c r="AD103" s="31">
        <v>0.36331007398556642</v>
      </c>
      <c r="AE103" s="31">
        <v>0.194953654145504</v>
      </c>
      <c r="AF103" s="31">
        <v>-1.1591113631131239E-2</v>
      </c>
      <c r="AG103" s="31">
        <v>-0.26120655787771341</v>
      </c>
      <c r="AH103" s="32">
        <v>-0.55885629599262121</v>
      </c>
    </row>
    <row r="104" spans="1:34" x14ac:dyDescent="0.25">
      <c r="A104" s="30">
        <v>5</v>
      </c>
      <c r="B104" s="31">
        <v>6.8938743213400269</v>
      </c>
      <c r="C104" s="31">
        <v>6.1357310455252563</v>
      </c>
      <c r="D104" s="31">
        <v>5.4436743004266983</v>
      </c>
      <c r="E104" s="31">
        <v>4.8150738546132699</v>
      </c>
      <c r="F104" s="31">
        <v>4.2472181877888886</v>
      </c>
      <c r="G104" s="31">
        <v>3.7373144907925022</v>
      </c>
      <c r="H104" s="31">
        <v>3.2824886655980761</v>
      </c>
      <c r="I104" s="31">
        <v>2.8797853253145931</v>
      </c>
      <c r="J104" s="31">
        <v>2.526167794186061</v>
      </c>
      <c r="K104" s="31">
        <v>2.2185181075915019</v>
      </c>
      <c r="L104" s="31">
        <v>1.9536370120449611</v>
      </c>
      <c r="M104" s="31">
        <v>1.7282439651955031</v>
      </c>
      <c r="N104" s="31">
        <v>1.5389771358272091</v>
      </c>
      <c r="O104" s="31">
        <v>1.3823934038591861</v>
      </c>
      <c r="P104" s="31">
        <v>1.254968360345553</v>
      </c>
      <c r="Q104" s="31">
        <v>1.1530963074754561</v>
      </c>
      <c r="R104" s="31">
        <v>1.07309025857306</v>
      </c>
      <c r="S104" s="31">
        <v>1.011181938097542</v>
      </c>
      <c r="T104" s="31">
        <v>0.96352178164311053</v>
      </c>
      <c r="U104" s="31">
        <v>0.9261789359389776</v>
      </c>
      <c r="V104" s="31">
        <v>0.89514125884939522</v>
      </c>
      <c r="W104" s="31">
        <v>0.86631531937361683</v>
      </c>
      <c r="X104" s="31">
        <v>0.83552639764593462</v>
      </c>
      <c r="Y104" s="31">
        <v>0.79851848493563438</v>
      </c>
      <c r="Z104" s="31">
        <v>0.75095428364705075</v>
      </c>
      <c r="AA104" s="31">
        <v>0.68841520731951689</v>
      </c>
      <c r="AB104" s="31">
        <v>0.60640138062739701</v>
      </c>
      <c r="AC104" s="31">
        <v>0.50033163938006975</v>
      </c>
      <c r="AD104" s="31">
        <v>0.36554353052192728</v>
      </c>
      <c r="AE104" s="31">
        <v>0.19729331213240189</v>
      </c>
      <c r="AF104" s="31">
        <v>-9.2440465740776905E-3</v>
      </c>
      <c r="AG104" s="31">
        <v>-0.25897486524804242</v>
      </c>
      <c r="AH104" s="32">
        <v>-0.55688675240502217</v>
      </c>
    </row>
    <row r="105" spans="1:34" x14ac:dyDescent="0.25">
      <c r="A105" s="30">
        <v>11</v>
      </c>
      <c r="B105" s="31">
        <v>6.9513035052291796</v>
      </c>
      <c r="C105" s="31">
        <v>6.186214169896247</v>
      </c>
      <c r="D105" s="31">
        <v>5.4877880316982628</v>
      </c>
      <c r="E105" s="31">
        <v>4.8533708680869818</v>
      </c>
      <c r="F105" s="31">
        <v>4.2802271676491683</v>
      </c>
      <c r="G105" s="31">
        <v>3.7655401301066109</v>
      </c>
      <c r="H105" s="31">
        <v>3.3064116663161229</v>
      </c>
      <c r="I105" s="31">
        <v>2.8998623982695269</v>
      </c>
      <c r="J105" s="31">
        <v>2.542831659093673</v>
      </c>
      <c r="K105" s="31">
        <v>2.2321774930504308</v>
      </c>
      <c r="L105" s="31">
        <v>1.9646766555366819</v>
      </c>
      <c r="M105" s="31">
        <v>1.737024613084341</v>
      </c>
      <c r="N105" s="31">
        <v>1.5458355433603279</v>
      </c>
      <c r="O105" s="31">
        <v>1.3876423351665941</v>
      </c>
      <c r="P105" s="31">
        <v>1.258896588440104</v>
      </c>
      <c r="Q105" s="31">
        <v>1.1559686142528429</v>
      </c>
      <c r="R105" s="31">
        <v>1.075147434811818</v>
      </c>
      <c r="S105" s="31">
        <v>1.0126407834590581</v>
      </c>
      <c r="T105" s="31">
        <v>0.96457510467160257</v>
      </c>
      <c r="U105" s="31">
        <v>0.9269955540615189</v>
      </c>
      <c r="V105" s="31">
        <v>0.89586599837589243</v>
      </c>
      <c r="W105" s="31">
        <v>0.86706901549682736</v>
      </c>
      <c r="X105" s="31">
        <v>0.83640589444144708</v>
      </c>
      <c r="Y105" s="31">
        <v>0.7995966353619065</v>
      </c>
      <c r="Z105" s="31">
        <v>0.75227994954535038</v>
      </c>
      <c r="AA105" s="31">
        <v>0.69001325941396996</v>
      </c>
      <c r="AB105" s="31">
        <v>0.60827269852498589</v>
      </c>
      <c r="AC105" s="31">
        <v>0.50245311157059735</v>
      </c>
      <c r="AD105" s="31">
        <v>0.36786805437805897</v>
      </c>
      <c r="AE105" s="31">
        <v>0.1997497939096303</v>
      </c>
      <c r="AF105" s="31">
        <v>-6.7506917374044531E-3</v>
      </c>
      <c r="AG105" s="31">
        <v>-0.25656371333074901</v>
      </c>
      <c r="AH105" s="32">
        <v>-0.55470087050306738</v>
      </c>
    </row>
    <row r="106" spans="1:34" x14ac:dyDescent="0.25">
      <c r="A106" s="30">
        <v>18</v>
      </c>
      <c r="B106" s="31">
        <v>7.0194001642442387</v>
      </c>
      <c r="C106" s="31">
        <v>6.246109169280504</v>
      </c>
      <c r="D106" s="31">
        <v>5.5401588348319581</v>
      </c>
      <c r="E106" s="31">
        <v>4.8988669487136693</v>
      </c>
      <c r="F106" s="31">
        <v>4.3194700098757259</v>
      </c>
      <c r="G106" s="31">
        <v>3.7991232284032268</v>
      </c>
      <c r="H106" s="31">
        <v>3.3349005255163071</v>
      </c>
      <c r="I106" s="31">
        <v>2.923794533570101</v>
      </c>
      <c r="J106" s="31">
        <v>2.5627165960547789</v>
      </c>
      <c r="K106" s="31">
        <v>2.2484967675955301</v>
      </c>
      <c r="L106" s="31">
        <v>1.977883813952549</v>
      </c>
      <c r="M106" s="31">
        <v>1.7475452120210671</v>
      </c>
      <c r="N106" s="31">
        <v>1.554067149831325</v>
      </c>
      <c r="O106" s="31">
        <v>1.39395452654859</v>
      </c>
      <c r="P106" s="31">
        <v>1.2636309524731419</v>
      </c>
      <c r="Q106" s="31">
        <v>1.159438749040284</v>
      </c>
      <c r="R106" s="31">
        <v>1.0776389488203431</v>
      </c>
      <c r="S106" s="31">
        <v>1.0144112955186579</v>
      </c>
      <c r="T106" s="31">
        <v>0.96585424397559272</v>
      </c>
      <c r="U106" s="31">
        <v>0.9279849601665261</v>
      </c>
      <c r="V106" s="31">
        <v>0.89673932120186239</v>
      </c>
      <c r="W106" s="31">
        <v>0.86797191532703</v>
      </c>
      <c r="X106" s="31">
        <v>0.83745604192246059</v>
      </c>
      <c r="Y106" s="31">
        <v>0.80088371150362114</v>
      </c>
      <c r="Z106" s="31">
        <v>0.7538656457209908</v>
      </c>
      <c r="AA106" s="31">
        <v>0.69193127736006932</v>
      </c>
      <c r="AB106" s="31">
        <v>0.61052875034137799</v>
      </c>
      <c r="AC106" s="31">
        <v>0.50502491972046215</v>
      </c>
      <c r="AD106" s="31">
        <v>0.37070535168786561</v>
      </c>
      <c r="AE106" s="31">
        <v>0.20277432356918909</v>
      </c>
      <c r="AF106" s="31">
        <v>-3.6451761749764599E-3</v>
      </c>
      <c r="AG106" s="31">
        <v>-0.25351144794901631</v>
      </c>
      <c r="AH106" s="32">
        <v>-0.55186408102228235</v>
      </c>
    </row>
    <row r="107" spans="1:34" x14ac:dyDescent="0.25">
      <c r="A107" s="30">
        <v>24</v>
      </c>
      <c r="B107" s="31">
        <v>7.0786991794521219</v>
      </c>
      <c r="C107" s="31">
        <v>6.298294880175038</v>
      </c>
      <c r="D107" s="31">
        <v>5.5858159407891108</v>
      </c>
      <c r="E107" s="31">
        <v>4.9385561579922452</v>
      </c>
      <c r="F107" s="31">
        <v>4.3537280396173754</v>
      </c>
      <c r="G107" s="31">
        <v>3.8284628046324398</v>
      </c>
      <c r="H107" s="31">
        <v>3.3598103831404189</v>
      </c>
      <c r="I107" s="31">
        <v>2.9447394163792948</v>
      </c>
      <c r="J107" s="31">
        <v>2.5801372567220762</v>
      </c>
      <c r="K107" s="31">
        <v>2.262809967676791</v>
      </c>
      <c r="L107" s="31">
        <v>1.989482323886486</v>
      </c>
      <c r="M107" s="31">
        <v>1.7567978111292331</v>
      </c>
      <c r="N107" s="31">
        <v>1.5613186263181129</v>
      </c>
      <c r="O107" s="31">
        <v>1.399525677501235</v>
      </c>
      <c r="P107" s="31">
        <v>1.26781858386173</v>
      </c>
      <c r="Q107" s="31">
        <v>1.1625156757177391</v>
      </c>
      <c r="R107" s="31">
        <v>1.0798539945224299</v>
      </c>
      <c r="S107" s="31">
        <v>1.0159892928639911</v>
      </c>
      <c r="T107" s="31">
        <v>0.96699603446562443</v>
      </c>
      <c r="U107" s="31">
        <v>0.92886739418555375</v>
      </c>
      <c r="V107" s="31">
        <v>0.89751525801702803</v>
      </c>
      <c r="W107" s="31">
        <v>0.8687702230883122</v>
      </c>
      <c r="X107" s="31">
        <v>0.83838159766268827</v>
      </c>
      <c r="Y107" s="31">
        <v>0.80201740113846753</v>
      </c>
      <c r="Z107" s="31">
        <v>0.75526436404896002</v>
      </c>
      <c r="AA107" s="31">
        <v>0.69362792806252926</v>
      </c>
      <c r="AB107" s="31">
        <v>0.61253224598252731</v>
      </c>
      <c r="AC107" s="31">
        <v>0.50732018174732996</v>
      </c>
      <c r="AD107" s="31">
        <v>0.37325331043036242</v>
      </c>
      <c r="AE107" s="31">
        <v>0.20551191824001699</v>
      </c>
      <c r="AF107" s="31">
        <v>-8.0499748023306079E-4</v>
      </c>
      <c r="AG107" s="31">
        <v>-0.25067972825193863</v>
      </c>
      <c r="AH107" s="32">
        <v>-0.5491758544616212</v>
      </c>
    </row>
    <row r="108" spans="1:34" x14ac:dyDescent="0.25">
      <c r="A108" s="30">
        <v>30</v>
      </c>
      <c r="B108" s="31">
        <v>7.1388486023933746</v>
      </c>
      <c r="C108" s="31">
        <v>6.3512546730456441</v>
      </c>
      <c r="D108" s="31">
        <v>5.6321745104837504</v>
      </c>
      <c r="E108" s="31">
        <v>4.9788779202884488</v>
      </c>
      <c r="F108" s="31">
        <v>4.3885534191755129</v>
      </c>
      <c r="G108" s="31">
        <v>3.8583082349957269</v>
      </c>
      <c r="H108" s="31">
        <v>3.385168306734911</v>
      </c>
      <c r="I108" s="31">
        <v>2.966078284513892</v>
      </c>
      <c r="J108" s="31">
        <v>2.5979015295885231</v>
      </c>
      <c r="K108" s="31">
        <v>2.2774201143496748</v>
      </c>
      <c r="L108" s="31">
        <v>2.001334822323237</v>
      </c>
      <c r="M108" s="31">
        <v>1.766265148170123</v>
      </c>
      <c r="N108" s="31">
        <v>1.5687492976862569</v>
      </c>
      <c r="O108" s="31">
        <v>1.405244187802595</v>
      </c>
      <c r="P108" s="31">
        <v>1.2721254465851071</v>
      </c>
      <c r="Q108" s="31">
        <v>1.165687413234779</v>
      </c>
      <c r="R108" s="31">
        <v>1.0821431380876241</v>
      </c>
      <c r="S108" s="31">
        <v>1.0176243826146689</v>
      </c>
      <c r="T108" s="31">
        <v>0.96818161942196501</v>
      </c>
      <c r="U108" s="31">
        <v>0.92978403225056772</v>
      </c>
      <c r="V108" s="31">
        <v>0.89831951597658144</v>
      </c>
      <c r="W108" s="31">
        <v>0.86959467661111367</v>
      </c>
      <c r="X108" s="31">
        <v>0.83933483130028341</v>
      </c>
      <c r="Y108" s="31">
        <v>0.8031840083252495</v>
      </c>
      <c r="Z108" s="31">
        <v>0.75670494710216474</v>
      </c>
      <c r="AA108" s="31">
        <v>0.69537909818222576</v>
      </c>
      <c r="AB108" s="31">
        <v>0.61460662325163262</v>
      </c>
      <c r="AC108" s="31">
        <v>0.50970639513163007</v>
      </c>
      <c r="AD108" s="31">
        <v>0.37591599777843132</v>
      </c>
      <c r="AE108" s="31">
        <v>0.20839172628333641</v>
      </c>
      <c r="AF108" s="31">
        <v>2.2085868726202662E-3</v>
      </c>
      <c r="AG108" s="31">
        <v>-0.24763970309241751</v>
      </c>
      <c r="AH108" s="32">
        <v>-0.54624071511546113</v>
      </c>
    </row>
    <row r="109" spans="1:34" x14ac:dyDescent="0.25">
      <c r="A109" s="30">
        <v>36</v>
      </c>
      <c r="B109" s="31">
        <v>7.1998401953845086</v>
      </c>
      <c r="C109" s="31">
        <v>6.4049808559866142</v>
      </c>
      <c r="D109" s="31">
        <v>5.6792273977879697</v>
      </c>
      <c r="E109" s="31">
        <v>5.0198256352521593</v>
      </c>
      <c r="F109" s="31">
        <v>4.4239400939778104</v>
      </c>
      <c r="G109" s="31">
        <v>3.8886540106985459</v>
      </c>
      <c r="H109" s="31">
        <v>3.4109693332830342</v>
      </c>
      <c r="I109" s="31">
        <v>2.987806720734937</v>
      </c>
      <c r="J109" s="31">
        <v>2.616005543192955</v>
      </c>
      <c r="K109" s="31">
        <v>2.2923238819308041</v>
      </c>
      <c r="L109" s="31">
        <v>2.013438529357213</v>
      </c>
      <c r="M109" s="31">
        <v>1.77594498901594</v>
      </c>
      <c r="N109" s="31">
        <v>1.5763574755857499</v>
      </c>
      <c r="O109" s="31">
        <v>1.4111089148804521</v>
      </c>
      <c r="P109" s="31">
        <v>1.2765509438488489</v>
      </c>
      <c r="Q109" s="31">
        <v>1.1689539105747691</v>
      </c>
      <c r="R109" s="31">
        <v>1.0845068742770769</v>
      </c>
      <c r="S109" s="31">
        <v>1.019317605309636</v>
      </c>
      <c r="T109" s="31">
        <v>0.96941258516133955</v>
      </c>
      <c r="U109" s="31">
        <v>0.93073700645609891</v>
      </c>
      <c r="V109" s="31">
        <v>0.89915477295284629</v>
      </c>
      <c r="W109" s="31">
        <v>0.87044849954553927</v>
      </c>
      <c r="X109" s="31">
        <v>0.84031951226314217</v>
      </c>
      <c r="Y109" s="31">
        <v>0.8043878482696466</v>
      </c>
      <c r="Z109" s="31">
        <v>0.75819225586406169</v>
      </c>
      <c r="AA109" s="31">
        <v>0.69719019448041808</v>
      </c>
      <c r="AB109" s="31">
        <v>0.61675783468777901</v>
      </c>
      <c r="AC109" s="31">
        <v>0.51219005819019248</v>
      </c>
      <c r="AD109" s="31">
        <v>0.37870045782676343</v>
      </c>
      <c r="AE109" s="31">
        <v>0.21142133757159171</v>
      </c>
      <c r="AF109" s="31">
        <v>5.4037125338100844E-3</v>
      </c>
      <c r="AG109" s="31">
        <v>-0.24438269104242141</v>
      </c>
      <c r="AH109" s="32">
        <v>-0.54304943577796116</v>
      </c>
    </row>
    <row r="110" spans="1:34" x14ac:dyDescent="0.25">
      <c r="A110" s="30">
        <v>43</v>
      </c>
      <c r="B110" s="31">
        <v>7.2720501878832158</v>
      </c>
      <c r="C110" s="31">
        <v>6.4686194874108809</v>
      </c>
      <c r="D110" s="31">
        <v>5.7349901541784734</v>
      </c>
      <c r="E110" s="31">
        <v>5.0683800130129208</v>
      </c>
      <c r="F110" s="31">
        <v>4.4659255998761447</v>
      </c>
      <c r="G110" s="31">
        <v>3.9246821618651029</v>
      </c>
      <c r="H110" s="31">
        <v>3.4416236572117649</v>
      </c>
      <c r="I110" s="31">
        <v>3.0136427552831222</v>
      </c>
      <c r="J110" s="31">
        <v>2.6375508365811871</v>
      </c>
      <c r="K110" s="31">
        <v>2.3100779927429929</v>
      </c>
      <c r="L110" s="31">
        <v>2.0278730265405871</v>
      </c>
      <c r="M110" s="31">
        <v>1.787503451881042</v>
      </c>
      <c r="N110" s="31">
        <v>1.585455493806444</v>
      </c>
      <c r="O110" s="31">
        <v>1.41813408849391</v>
      </c>
      <c r="P110" s="31">
        <v>1.281862883255569</v>
      </c>
      <c r="Q110" s="31">
        <v>1.1728842365385701</v>
      </c>
      <c r="R110" s="31">
        <v>1.0873592179250799</v>
      </c>
      <c r="S110" s="31">
        <v>1.02136760813229</v>
      </c>
      <c r="T110" s="31">
        <v>0.97090789901241048</v>
      </c>
      <c r="U110" s="31">
        <v>0.93189729355266493</v>
      </c>
      <c r="V110" s="31">
        <v>0.90017170587530659</v>
      </c>
      <c r="W110" s="31">
        <v>0.87148576123760746</v>
      </c>
      <c r="X110" s="31">
        <v>0.84151279603184748</v>
      </c>
      <c r="Y110" s="31">
        <v>0.80584485778534187</v>
      </c>
      <c r="Z110" s="31">
        <v>0.75999270516041229</v>
      </c>
      <c r="AA110" s="31">
        <v>0.69938580795440508</v>
      </c>
      <c r="AB110" s="31">
        <v>0.61937234709969247</v>
      </c>
      <c r="AC110" s="31">
        <v>0.51521921466366849</v>
      </c>
      <c r="AD110" s="31">
        <v>0.3821120138487189</v>
      </c>
      <c r="AE110" s="31">
        <v>0.21515505899228601</v>
      </c>
      <c r="AF110" s="31">
        <v>9.3713755668156928E-3</v>
      </c>
      <c r="AG110" s="31">
        <v>-0.2402972998202238</v>
      </c>
      <c r="AH110" s="32">
        <v>-0.53899051942636167</v>
      </c>
    </row>
    <row r="111" spans="1:34" x14ac:dyDescent="0.25">
      <c r="A111" s="30">
        <v>49</v>
      </c>
      <c r="B111" s="31">
        <v>7.3348372442171206</v>
      </c>
      <c r="C111" s="31">
        <v>6.5239788160600458</v>
      </c>
      <c r="D111" s="31">
        <v>5.7835219025135416</v>
      </c>
      <c r="E111" s="31">
        <v>5.1106603372873591</v>
      </c>
      <c r="F111" s="31">
        <v>4.5025066652262851</v>
      </c>
      <c r="G111" s="31">
        <v>3.9560921423101059</v>
      </c>
      <c r="H111" s="31">
        <v>3.4683667356536412</v>
      </c>
      <c r="I111" s="31">
        <v>3.0361991235067221</v>
      </c>
      <c r="J111" s="31">
        <v>2.6563766952542029</v>
      </c>
      <c r="K111" s="31">
        <v>2.3256055514159639</v>
      </c>
      <c r="L111" s="31">
        <v>2.0405105036468938</v>
      </c>
      <c r="M111" s="31">
        <v>1.7976350747369101</v>
      </c>
      <c r="N111" s="31">
        <v>1.59344149861094</v>
      </c>
      <c r="O111" s="31">
        <v>1.4243107203289449</v>
      </c>
      <c r="P111" s="31">
        <v>1.286542396085897</v>
      </c>
      <c r="Q111" s="31">
        <v>1.176354893211782</v>
      </c>
      <c r="R111" s="31">
        <v>1.0898852901716229</v>
      </c>
      <c r="S111" s="31">
        <v>1.023189376565445</v>
      </c>
      <c r="T111" s="31">
        <v>0.97224165312830402</v>
      </c>
      <c r="U111" s="31">
        <v>0.93293533173026988</v>
      </c>
      <c r="V111" s="31">
        <v>0.9010823353764319</v>
      </c>
      <c r="W111" s="31">
        <v>0.87241329820690638</v>
      </c>
      <c r="X111" s="31">
        <v>0.84257756549682539</v>
      </c>
      <c r="Y111" s="31">
        <v>0.80714319365633702</v>
      </c>
      <c r="Z111" s="31">
        <v>0.76159695023061302</v>
      </c>
      <c r="AA111" s="31">
        <v>0.70134431389983642</v>
      </c>
      <c r="AB111" s="31">
        <v>0.6217094744792292</v>
      </c>
      <c r="AC111" s="31">
        <v>0.51793533291902516</v>
      </c>
      <c r="AD111" s="31">
        <v>0.38518350130445528</v>
      </c>
      <c r="AE111" s="31">
        <v>0.21853430285580261</v>
      </c>
      <c r="AF111" s="31">
        <v>1.298677192835121E-2</v>
      </c>
      <c r="AG111" s="31">
        <v>-0.23654134598757889</v>
      </c>
      <c r="AH111" s="32">
        <v>-0.53521359426667026</v>
      </c>
    </row>
    <row r="112" spans="1:34" x14ac:dyDescent="0.25">
      <c r="A112" s="30">
        <v>55</v>
      </c>
      <c r="B112" s="31">
        <v>7.3984390296170499</v>
      </c>
      <c r="C112" s="31">
        <v>6.5800788220920658</v>
      </c>
      <c r="D112" s="31">
        <v>5.8327239840670009</v>
      </c>
      <c r="E112" s="31">
        <v>5.1535443581344689</v>
      </c>
      <c r="F112" s="31">
        <v>4.5396284980220818</v>
      </c>
      <c r="G112" s="31">
        <v>3.987983668592475</v>
      </c>
      <c r="H112" s="31">
        <v>3.495535845843313</v>
      </c>
      <c r="I112" s="31">
        <v>3.0591297169072691</v>
      </c>
      <c r="J112" s="31">
        <v>2.6755286800520408</v>
      </c>
      <c r="K112" s="31">
        <v>2.341414844680354</v>
      </c>
      <c r="L112" s="31">
        <v>2.0533890313299352</v>
      </c>
      <c r="M112" s="31">
        <v>1.807970771673552</v>
      </c>
      <c r="N112" s="31">
        <v>1.6015983085189689</v>
      </c>
      <c r="O112" s="31">
        <v>1.430628595808995</v>
      </c>
      <c r="P112" s="31">
        <v>1.2913372986214371</v>
      </c>
      <c r="Q112" s="31">
        <v>1.1799187931691359</v>
      </c>
      <c r="R112" s="31">
        <v>1.0924861667999539</v>
      </c>
      <c r="S112" s="31">
        <v>1.0250712179967549</v>
      </c>
      <c r="T112" s="31">
        <v>0.97362445637744033</v>
      </c>
      <c r="U112" s="31">
        <v>0.93401510269491828</v>
      </c>
      <c r="V112" s="31">
        <v>0.90203108883713545</v>
      </c>
      <c r="W112" s="31">
        <v>0.87337905782703928</v>
      </c>
      <c r="X112" s="31">
        <v>0.84368436382260636</v>
      </c>
      <c r="Y112" s="31">
        <v>0.80849107211682991</v>
      </c>
      <c r="Z112" s="31">
        <v>0.76326195913772399</v>
      </c>
      <c r="AA112" s="31">
        <v>0.70337851244831728</v>
      </c>
      <c r="AB112" s="31">
        <v>0.62414093074668464</v>
      </c>
      <c r="AC112" s="31">
        <v>0.52076812386587068</v>
      </c>
      <c r="AD112" s="31">
        <v>0.38839771277397972</v>
      </c>
      <c r="AE112" s="31">
        <v>0.22208602957413079</v>
      </c>
      <c r="AF112" s="31">
        <v>1.6808117504447221E-2</v>
      </c>
      <c r="AG112" s="31">
        <v>-0.2325422690619022</v>
      </c>
      <c r="AH112" s="32">
        <v>-0.53115266461676736</v>
      </c>
    </row>
    <row r="113" spans="1:34" x14ac:dyDescent="0.25">
      <c r="A113" s="30">
        <v>61</v>
      </c>
      <c r="B113" s="31">
        <v>7.462846450618799</v>
      </c>
      <c r="C113" s="31">
        <v>6.6369109578205148</v>
      </c>
      <c r="D113" s="31">
        <v>5.8825883969302337</v>
      </c>
      <c r="E113" s="31">
        <v>5.1970246194234004</v>
      </c>
      <c r="F113" s="31">
        <v>4.5772841879104806</v>
      </c>
      <c r="G113" s="31">
        <v>4.0203503761369452</v>
      </c>
      <c r="H113" s="31">
        <v>3.5231251689833121</v>
      </c>
      <c r="I113" s="31">
        <v>3.0824292624650851</v>
      </c>
      <c r="J113" s="31">
        <v>2.6950020637328169</v>
      </c>
      <c r="K113" s="31">
        <v>2.357501691072065</v>
      </c>
      <c r="L113" s="31">
        <v>2.0665049739034091</v>
      </c>
      <c r="M113" s="31">
        <v>1.8185074527824501</v>
      </c>
      <c r="N113" s="31">
        <v>1.609923379399806</v>
      </c>
      <c r="O113" s="31">
        <v>1.4370857165811199</v>
      </c>
      <c r="P113" s="31">
        <v>1.296246138287052</v>
      </c>
      <c r="Q113" s="31">
        <v>1.1835750296132781</v>
      </c>
      <c r="R113" s="31">
        <v>1.0951614867905011</v>
      </c>
      <c r="S113" s="31">
        <v>1.0270133171844389</v>
      </c>
      <c r="T113" s="31">
        <v>0.9750570392958281</v>
      </c>
      <c r="U113" s="31">
        <v>0.93513788276042031</v>
      </c>
      <c r="V113" s="31">
        <v>0.90301978834901386</v>
      </c>
      <c r="W113" s="31">
        <v>0.87438540796738851</v>
      </c>
      <c r="X113" s="31">
        <v>0.84483610465636894</v>
      </c>
      <c r="Y113" s="31">
        <v>0.80989195259179092</v>
      </c>
      <c r="Z113" s="31">
        <v>0.76499173708451451</v>
      </c>
      <c r="AA113" s="31">
        <v>0.70549295458040728</v>
      </c>
      <c r="AB113" s="31">
        <v>0.62667181266038263</v>
      </c>
      <c r="AC113" s="31">
        <v>0.52372323004034083</v>
      </c>
      <c r="AD113" s="31">
        <v>0.39176083657121902</v>
      </c>
      <c r="AE113" s="31">
        <v>0.22581697323898639</v>
      </c>
      <c r="AF113" s="31">
        <v>2.0842692164614578E-2</v>
      </c>
      <c r="AG113" s="31">
        <v>-0.22829224339590951</v>
      </c>
      <c r="AH113" s="32">
        <v>-0.52679935905156761</v>
      </c>
    </row>
    <row r="114" spans="1:34" x14ac:dyDescent="0.25">
      <c r="A114" s="30">
        <v>68</v>
      </c>
      <c r="B114" s="31">
        <v>7.5389942586123091</v>
      </c>
      <c r="C114" s="31">
        <v>6.7041287578229403</v>
      </c>
      <c r="D114" s="31">
        <v>5.9415896976427129</v>
      </c>
      <c r="E114" s="31">
        <v>5.2484949399103984</v>
      </c>
      <c r="F114" s="31">
        <v>4.6218810575997651</v>
      </c>
      <c r="G114" s="31">
        <v>4.058703334819616</v>
      </c>
      <c r="H114" s="31">
        <v>3.555835766813773</v>
      </c>
      <c r="I114" s="31">
        <v>3.110071059961069</v>
      </c>
      <c r="J114" s="31">
        <v>2.7181206317753661</v>
      </c>
      <c r="K114" s="31">
        <v>2.3766146109055399</v>
      </c>
      <c r="L114" s="31">
        <v>2.0821018371354878</v>
      </c>
      <c r="M114" s="31">
        <v>1.8310498613841291</v>
      </c>
      <c r="N114" s="31">
        <v>1.6198449457053989</v>
      </c>
      <c r="O114" s="31">
        <v>1.444792063288254</v>
      </c>
      <c r="P114" s="31">
        <v>1.3021148984566739</v>
      </c>
      <c r="Q114" s="31">
        <v>1.187955846669654</v>
      </c>
      <c r="R114" s="31">
        <v>1.0983760145212089</v>
      </c>
      <c r="S114" s="31">
        <v>1.029355219740375</v>
      </c>
      <c r="T114" s="31">
        <v>0.9767919911912083</v>
      </c>
      <c r="U114" s="31">
        <v>0.93650356887277852</v>
      </c>
      <c r="V114" s="31">
        <v>0.9042259039191971</v>
      </c>
      <c r="W114" s="31">
        <v>0.87561365859956264</v>
      </c>
      <c r="X114" s="31">
        <v>0.84624020631801589</v>
      </c>
      <c r="Y114" s="31">
        <v>0.81159763161371334</v>
      </c>
      <c r="Z114" s="31">
        <v>0.76709673016082303</v>
      </c>
      <c r="AA114" s="31">
        <v>0.70806700876854112</v>
      </c>
      <c r="AB114" s="31">
        <v>0.62975668538109009</v>
      </c>
      <c r="AC114" s="31">
        <v>0.5273326890776957</v>
      </c>
      <c r="AD114" s="31">
        <v>0.39588066007261158</v>
      </c>
      <c r="AE114" s="31">
        <v>0.23040494971509959</v>
      </c>
      <c r="AF114" s="31">
        <v>2.582862048948183E-2</v>
      </c>
      <c r="AG114" s="31">
        <v>-0.22300655398495911</v>
      </c>
      <c r="AH114" s="32">
        <v>-0.52134008895387229</v>
      </c>
    </row>
    <row r="115" spans="1:34" x14ac:dyDescent="0.25">
      <c r="A115" s="30">
        <v>74</v>
      </c>
      <c r="B115" s="31">
        <v>7.6051150491827428</v>
      </c>
      <c r="C115" s="31">
        <v>6.7625168726461027</v>
      </c>
      <c r="D115" s="31">
        <v>5.9928607320839209</v>
      </c>
      <c r="E115" s="31">
        <v>5.2932404982177932</v>
      </c>
      <c r="F115" s="31">
        <v>4.6606687529043462</v>
      </c>
      <c r="G115" s="31">
        <v>4.0920767891352208</v>
      </c>
      <c r="H115" s="31">
        <v>3.5843146110370809</v>
      </c>
      <c r="I115" s="31">
        <v>3.134150933871604</v>
      </c>
      <c r="J115" s="31">
        <v>2.738273184035493</v>
      </c>
      <c r="K115" s="31">
        <v>2.393287499060472</v>
      </c>
      <c r="L115" s="31">
        <v>2.095718727613276</v>
      </c>
      <c r="M115" s="31">
        <v>1.842010429495673</v>
      </c>
      <c r="N115" s="31">
        <v>1.6285248756444319</v>
      </c>
      <c r="O115" s="31">
        <v>1.45154304813137</v>
      </c>
      <c r="P115" s="31">
        <v>1.307264640163293</v>
      </c>
      <c r="Q115" s="31">
        <v>1.191808056082041</v>
      </c>
      <c r="R115" s="31">
        <v>1.1012104113644829</v>
      </c>
      <c r="S115" s="31">
        <v>1.0314275326224851</v>
      </c>
      <c r="T115" s="31">
        <v>0.97833395760296205</v>
      </c>
      <c r="U115" s="31">
        <v>0.93772293518781569</v>
      </c>
      <c r="V115" s="31">
        <v>0.90530642539399653</v>
      </c>
      <c r="W115" s="31">
        <v>0.87671509937345649</v>
      </c>
      <c r="X115" s="31">
        <v>0.84749833941317942</v>
      </c>
      <c r="Y115" s="31">
        <v>0.81312423893515273</v>
      </c>
      <c r="Z115" s="31">
        <v>0.76897960249639574</v>
      </c>
      <c r="AA115" s="31">
        <v>0.71036994578896206</v>
      </c>
      <c r="AB115" s="31">
        <v>0.63251949563988952</v>
      </c>
      <c r="AC115" s="31">
        <v>0.53057119001126907</v>
      </c>
      <c r="AD115" s="31">
        <v>0.39958667800018338</v>
      </c>
      <c r="AE115" s="31">
        <v>0.23454631983875471</v>
      </c>
      <c r="AF115" s="31">
        <v>3.0349186894121721E-2</v>
      </c>
      <c r="AG115" s="31">
        <v>-0.21818693833156291</v>
      </c>
      <c r="AH115" s="32">
        <v>-0.51632556220112313</v>
      </c>
    </row>
    <row r="116" spans="1:34" x14ac:dyDescent="0.25">
      <c r="A116" s="33">
        <v>80</v>
      </c>
      <c r="B116" s="34">
        <v>7.6720113243988663</v>
      </c>
      <c r="C116" s="34">
        <v>6.8216086945059153</v>
      </c>
      <c r="D116" s="34">
        <v>6.0447674034714414</v>
      </c>
      <c r="E116" s="34">
        <v>5.3385573308998966</v>
      </c>
      <c r="F116" s="34">
        <v>4.6999670675307552</v>
      </c>
      <c r="G116" s="34">
        <v>4.1259039152384869</v>
      </c>
      <c r="H116" s="34">
        <v>3.6131938870326081</v>
      </c>
      <c r="I116" s="34">
        <v>3.1585817070576381</v>
      </c>
      <c r="J116" s="34">
        <v>2.7587308105931219</v>
      </c>
      <c r="K116" s="34">
        <v>2.4102233440536258</v>
      </c>
      <c r="L116" s="34">
        <v>2.1095601649887339</v>
      </c>
      <c r="M116" s="34">
        <v>1.853160842083049</v>
      </c>
      <c r="N116" s="34">
        <v>1.6373636551561901</v>
      </c>
      <c r="O116" s="34">
        <v>1.4584255951628109</v>
      </c>
      <c r="P116" s="34">
        <v>1.312522364192561</v>
      </c>
      <c r="Q116" s="34">
        <v>1.195748375470135</v>
      </c>
      <c r="R116" s="34">
        <v>1.1041167533552321</v>
      </c>
      <c r="S116" s="34">
        <v>1.0335593333425721</v>
      </c>
      <c r="T116" s="34">
        <v>0.97992666206190138</v>
      </c>
      <c r="U116" s="34">
        <v>0.938987997277969</v>
      </c>
      <c r="V116" s="34">
        <v>0.90643130789057247</v>
      </c>
      <c r="W116" s="34">
        <v>0.87786327393450714</v>
      </c>
      <c r="X116" s="34">
        <v>0.84880928657959043</v>
      </c>
      <c r="Y116" s="34">
        <v>0.8147134481306697</v>
      </c>
      <c r="Z116" s="34">
        <v>0.77093857202760141</v>
      </c>
      <c r="AA116" s="34">
        <v>0.71276618284526649</v>
      </c>
      <c r="AB116" s="34">
        <v>0.63539651629357241</v>
      </c>
      <c r="AC116" s="34">
        <v>0.5339485192174217</v>
      </c>
      <c r="AD116" s="34">
        <v>0.40345984959677128</v>
      </c>
      <c r="AE116" s="34">
        <v>0.23888687654656779</v>
      </c>
      <c r="AF116" s="34">
        <v>3.5104680316799843E-2</v>
      </c>
      <c r="AG116" s="34">
        <v>-0.21309294770753701</v>
      </c>
      <c r="AH116" s="35">
        <v>-0.51099350500642693</v>
      </c>
    </row>
    <row r="119" spans="1:34" ht="28.9" customHeight="1" x14ac:dyDescent="0.5">
      <c r="A119" s="1" t="s">
        <v>32</v>
      </c>
    </row>
    <row r="120" spans="1:34" ht="32.1" customHeight="1" x14ac:dyDescent="0.25"/>
    <row r="121" spans="1:34" x14ac:dyDescent="0.25">
      <c r="A121" s="2"/>
      <c r="B121" s="3"/>
      <c r="C121" s="3"/>
      <c r="D121" s="4"/>
    </row>
    <row r="122" spans="1:34" x14ac:dyDescent="0.25">
      <c r="A122" s="5" t="s">
        <v>33</v>
      </c>
      <c r="B122" s="6">
        <v>1.875</v>
      </c>
      <c r="C122" s="6" t="s">
        <v>13</v>
      </c>
      <c r="D122" s="7"/>
    </row>
    <row r="123" spans="1:34" x14ac:dyDescent="0.25">
      <c r="A123" s="8"/>
      <c r="B123" s="9"/>
      <c r="C123" s="9"/>
      <c r="D123" s="10"/>
    </row>
    <row r="126" spans="1:34" ht="48" customHeight="1" x14ac:dyDescent="0.25">
      <c r="A126" s="21" t="s">
        <v>34</v>
      </c>
      <c r="B126" s="23" t="s">
        <v>35</v>
      </c>
    </row>
    <row r="127" spans="1:34" x14ac:dyDescent="0.25">
      <c r="A127" s="5">
        <v>0</v>
      </c>
      <c r="B127" s="32">
        <v>0.31000000000000011</v>
      </c>
    </row>
    <row r="128" spans="1:34" x14ac:dyDescent="0.25">
      <c r="A128" s="5">
        <v>0.125</v>
      </c>
      <c r="B128" s="32">
        <v>0.33796666666666669</v>
      </c>
    </row>
    <row r="129" spans="1:2" x14ac:dyDescent="0.25">
      <c r="A129" s="5">
        <v>0.25</v>
      </c>
      <c r="B129" s="32">
        <v>0.26827777777777778</v>
      </c>
    </row>
    <row r="130" spans="1:2" x14ac:dyDescent="0.25">
      <c r="A130" s="5">
        <v>0.375</v>
      </c>
      <c r="B130" s="32">
        <v>0.17423250000000001</v>
      </c>
    </row>
    <row r="131" spans="1:2" x14ac:dyDescent="0.25">
      <c r="A131" s="5">
        <v>0.5</v>
      </c>
      <c r="B131" s="32">
        <v>7.6555555555555488E-2</v>
      </c>
    </row>
    <row r="132" spans="1:2" x14ac:dyDescent="0.25">
      <c r="A132" s="5">
        <v>0.625</v>
      </c>
      <c r="B132" s="32">
        <v>0.10305555555555571</v>
      </c>
    </row>
    <row r="133" spans="1:2" x14ac:dyDescent="0.25">
      <c r="A133" s="5">
        <v>0.75</v>
      </c>
      <c r="B133" s="32">
        <v>7.2250000000000147E-2</v>
      </c>
    </row>
    <row r="134" spans="1:2" x14ac:dyDescent="0.25">
      <c r="A134" s="5">
        <v>0.875</v>
      </c>
      <c r="B134" s="32">
        <v>6.0958333333333337E-2</v>
      </c>
    </row>
    <row r="135" spans="1:2" x14ac:dyDescent="0.25">
      <c r="A135" s="5">
        <v>1</v>
      </c>
      <c r="B135" s="32">
        <v>5.4666666666666641E-2</v>
      </c>
    </row>
    <row r="136" spans="1:2" x14ac:dyDescent="0.25">
      <c r="A136" s="5">
        <v>1.125</v>
      </c>
      <c r="B136" s="32">
        <v>2.6432432432432429E-2</v>
      </c>
    </row>
    <row r="137" spans="1:2" x14ac:dyDescent="0.25">
      <c r="A137" s="5">
        <v>1.25</v>
      </c>
      <c r="B137" s="32">
        <v>2.5405405405405149E-2</v>
      </c>
    </row>
    <row r="138" spans="1:2" x14ac:dyDescent="0.25">
      <c r="A138" s="5">
        <v>1.375</v>
      </c>
      <c r="B138" s="32">
        <v>2.0891472868217138E-2</v>
      </c>
    </row>
    <row r="139" spans="1:2" x14ac:dyDescent="0.25">
      <c r="A139" s="5">
        <v>1.5</v>
      </c>
      <c r="B139" s="32">
        <v>1.441860465116274E-2</v>
      </c>
    </row>
    <row r="140" spans="1:2" x14ac:dyDescent="0.25">
      <c r="A140" s="5">
        <v>1.625</v>
      </c>
      <c r="B140" s="32">
        <v>8.4460547504022782E-3</v>
      </c>
    </row>
    <row r="141" spans="1:2" x14ac:dyDescent="0.25">
      <c r="A141" s="5">
        <v>1.75</v>
      </c>
      <c r="B141" s="32">
        <v>6.5539452495972927E-3</v>
      </c>
    </row>
    <row r="142" spans="1:2" x14ac:dyDescent="0.25">
      <c r="A142" s="5">
        <v>1.875</v>
      </c>
      <c r="B142" s="32">
        <v>0</v>
      </c>
    </row>
    <row r="143" spans="1:2" x14ac:dyDescent="0.25">
      <c r="A143" s="5">
        <v>2</v>
      </c>
      <c r="B143" s="32">
        <v>0</v>
      </c>
    </row>
    <row r="144" spans="1:2" x14ac:dyDescent="0.25">
      <c r="A144" s="5">
        <v>2.125</v>
      </c>
      <c r="B144" s="32">
        <v>0</v>
      </c>
    </row>
    <row r="145" spans="1:2" x14ac:dyDescent="0.25">
      <c r="A145" s="5">
        <v>2.25</v>
      </c>
      <c r="B145" s="32">
        <v>0</v>
      </c>
    </row>
    <row r="146" spans="1:2" x14ac:dyDescent="0.25">
      <c r="A146" s="5">
        <v>2.375</v>
      </c>
      <c r="B146" s="32">
        <v>0</v>
      </c>
    </row>
    <row r="147" spans="1:2" x14ac:dyDescent="0.25">
      <c r="A147" s="5">
        <v>2.5</v>
      </c>
      <c r="B147" s="32">
        <v>0</v>
      </c>
    </row>
    <row r="148" spans="1:2" x14ac:dyDescent="0.25">
      <c r="A148" s="5">
        <v>2.625</v>
      </c>
      <c r="B148" s="32">
        <v>0</v>
      </c>
    </row>
    <row r="149" spans="1:2" x14ac:dyDescent="0.25">
      <c r="A149" s="5">
        <v>2.75</v>
      </c>
      <c r="B149" s="32">
        <v>0</v>
      </c>
    </row>
    <row r="150" spans="1:2" x14ac:dyDescent="0.25">
      <c r="A150" s="5">
        <v>2.875</v>
      </c>
      <c r="B150" s="32">
        <v>0</v>
      </c>
    </row>
    <row r="151" spans="1:2" x14ac:dyDescent="0.25">
      <c r="A151" s="5">
        <v>3</v>
      </c>
      <c r="B151" s="32">
        <v>0</v>
      </c>
    </row>
    <row r="152" spans="1:2" x14ac:dyDescent="0.25">
      <c r="A152" s="5">
        <v>3.125</v>
      </c>
      <c r="B152" s="32">
        <v>0</v>
      </c>
    </row>
    <row r="153" spans="1:2" x14ac:dyDescent="0.25">
      <c r="A153" s="5">
        <v>3.25</v>
      </c>
      <c r="B153" s="32">
        <v>0</v>
      </c>
    </row>
    <row r="154" spans="1:2" x14ac:dyDescent="0.25">
      <c r="A154" s="5">
        <v>3.375</v>
      </c>
      <c r="B154" s="32">
        <v>0</v>
      </c>
    </row>
    <row r="155" spans="1:2" x14ac:dyDescent="0.25">
      <c r="A155" s="5">
        <v>3.5</v>
      </c>
      <c r="B155" s="32">
        <v>0</v>
      </c>
    </row>
    <row r="156" spans="1:2" x14ac:dyDescent="0.25">
      <c r="A156" s="5">
        <v>3.625</v>
      </c>
      <c r="B156" s="32">
        <v>0</v>
      </c>
    </row>
    <row r="157" spans="1:2" x14ac:dyDescent="0.25">
      <c r="A157" s="5">
        <v>3.75</v>
      </c>
      <c r="B157" s="32">
        <v>0</v>
      </c>
    </row>
    <row r="158" spans="1:2" x14ac:dyDescent="0.25">
      <c r="A158" s="5">
        <v>3.875</v>
      </c>
      <c r="B158" s="32">
        <v>0</v>
      </c>
    </row>
    <row r="159" spans="1:2" x14ac:dyDescent="0.25">
      <c r="A159" s="8">
        <v>4</v>
      </c>
      <c r="B159" s="35">
        <v>0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R159"/>
  <sheetViews>
    <sheetView workbookViewId="0">
      <selection activeCell="F7" sqref="F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0.42999999999999988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41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128</v>
      </c>
      <c r="B42" s="6">
        <v>38.648808993527837</v>
      </c>
      <c r="C42" s="6">
        <f>38.6488089935278 * $B$37 / 100</f>
        <v>38.648808993527801</v>
      </c>
      <c r="D42" s="6">
        <v>4.8696640469423</v>
      </c>
      <c r="E42" s="7">
        <f>4.8696640469423 * $B$37 / 100</f>
        <v>4.8696640469423</v>
      </c>
    </row>
    <row r="43" spans="1:5" x14ac:dyDescent="0.25">
      <c r="A43" s="5">
        <v>144</v>
      </c>
      <c r="B43" s="6">
        <v>40.993252386160741</v>
      </c>
      <c r="C43" s="6">
        <f>40.9932523861607 * $B$37 / 100</f>
        <v>40.993252386160705</v>
      </c>
      <c r="D43" s="6">
        <v>5.1650587045398391</v>
      </c>
      <c r="E43" s="7">
        <f>5.16505870453983 * $B$37 / 100</f>
        <v>5.1650587045398302</v>
      </c>
    </row>
    <row r="44" spans="1:5" x14ac:dyDescent="0.25">
      <c r="A44" s="5">
        <v>160</v>
      </c>
      <c r="B44" s="6">
        <v>43.210682079466743</v>
      </c>
      <c r="C44" s="6">
        <f>43.2106820794667 * $B$37 / 100</f>
        <v>43.210682079466693</v>
      </c>
      <c r="D44" s="6">
        <v>5.4444499182748549</v>
      </c>
      <c r="E44" s="7">
        <f>5.44444991827485 * $B$37 / 100</f>
        <v>5.4444499182748496</v>
      </c>
    </row>
    <row r="45" spans="1:5" x14ac:dyDescent="0.25">
      <c r="A45" s="5">
        <v>176</v>
      </c>
      <c r="B45" s="6">
        <v>45.31974570041212</v>
      </c>
      <c r="C45" s="6">
        <f>45.3197457004121 * $B$37 / 100</f>
        <v>45.319745700412092</v>
      </c>
      <c r="D45" s="6">
        <v>5.7101872477059263</v>
      </c>
      <c r="E45" s="7">
        <f>5.71018724770592 * $B$37 / 100</f>
        <v>5.7101872477059201</v>
      </c>
    </row>
    <row r="46" spans="1:5" x14ac:dyDescent="0.25">
      <c r="A46" s="5">
        <v>192</v>
      </c>
      <c r="B46" s="6">
        <v>47.334930600216353</v>
      </c>
      <c r="C46" s="6">
        <f>47.3349306002163 * $B$37 / 100</f>
        <v>47.334930600216303</v>
      </c>
      <c r="D46" s="6">
        <v>5.9640960668925924</v>
      </c>
      <c r="E46" s="7">
        <f>5.96409606689259 * $B$37 / 100</f>
        <v>5.9640960668925906</v>
      </c>
    </row>
    <row r="47" spans="1:5" x14ac:dyDescent="0.25">
      <c r="A47" s="5">
        <v>208</v>
      </c>
      <c r="B47" s="6">
        <v>49.267757808779692</v>
      </c>
      <c r="C47" s="6">
        <f>49.2677578087796 * $B$37 / 100</f>
        <v>49.267757808779599</v>
      </c>
      <c r="D47" s="6">
        <v>6.2076279999999988</v>
      </c>
      <c r="E47" s="7">
        <f>6.20762799999999 * $B$37 / 100</f>
        <v>6.207627999999989</v>
      </c>
    </row>
    <row r="48" spans="1:5" x14ac:dyDescent="0.25">
      <c r="A48" s="5">
        <v>224</v>
      </c>
      <c r="B48" s="6">
        <v>50.970348683398292</v>
      </c>
      <c r="C48" s="6">
        <f>50.9703486833982 * $B$37 / 100</f>
        <v>50.9703486833982</v>
      </c>
      <c r="D48" s="6">
        <v>6.4221506666666652</v>
      </c>
      <c r="E48" s="7">
        <f>6.42215066666666 * $B$37 / 100</f>
        <v>6.4221506666666599</v>
      </c>
    </row>
    <row r="49" spans="1:5" x14ac:dyDescent="0.25">
      <c r="A49" s="5">
        <v>240</v>
      </c>
      <c r="B49" s="6">
        <v>52.672939558016893</v>
      </c>
      <c r="C49" s="6">
        <f>52.6729395580168 * $B$37 / 100</f>
        <v>52.672939558016793</v>
      </c>
      <c r="D49" s="6">
        <v>6.6366733333333334</v>
      </c>
      <c r="E49" s="7">
        <f>6.63667333333333 * $B$37 / 100</f>
        <v>6.6366733333333299</v>
      </c>
    </row>
    <row r="50" spans="1:5" x14ac:dyDescent="0.25">
      <c r="A50" s="5">
        <v>256</v>
      </c>
      <c r="B50" s="6">
        <v>54.375530432635493</v>
      </c>
      <c r="C50" s="6">
        <f>54.3755304326354 * $B$37 / 100</f>
        <v>54.375530432635408</v>
      </c>
      <c r="D50" s="6">
        <v>6.851195999999999</v>
      </c>
      <c r="E50" s="7">
        <f>6.85119599999999 * $B$37 / 100</f>
        <v>6.8511959999999901</v>
      </c>
    </row>
    <row r="51" spans="1:5" x14ac:dyDescent="0.25">
      <c r="A51" s="5">
        <v>272</v>
      </c>
      <c r="B51" s="6">
        <v>56.078121307254087</v>
      </c>
      <c r="C51" s="6">
        <f>56.078121307254 * $B$37 / 100</f>
        <v>56.078121307254008</v>
      </c>
      <c r="D51" s="6">
        <v>7.0657186666666663</v>
      </c>
      <c r="E51" s="7">
        <f>7.06571866666666 * $B$37 / 100</f>
        <v>7.06571866666666</v>
      </c>
    </row>
    <row r="52" spans="1:5" x14ac:dyDescent="0.25">
      <c r="A52" s="5">
        <v>288</v>
      </c>
      <c r="B52" s="6">
        <v>57.780712181872701</v>
      </c>
      <c r="C52" s="6">
        <f>57.7807121818727 * $B$37 / 100</f>
        <v>57.780712181872701</v>
      </c>
      <c r="D52" s="6">
        <v>7.2802413333333336</v>
      </c>
      <c r="E52" s="7">
        <f>7.28024133333333 * $B$37 / 100</f>
        <v>7.28024133333333</v>
      </c>
    </row>
    <row r="53" spans="1:5" x14ac:dyDescent="0.25">
      <c r="A53" s="5">
        <v>304</v>
      </c>
      <c r="B53" s="6">
        <v>59.423048025538371</v>
      </c>
      <c r="C53" s="6">
        <f>59.4230480255383 * $B$37 / 100</f>
        <v>59.4230480255383</v>
      </c>
      <c r="D53" s="6">
        <v>7.4871719999999993</v>
      </c>
      <c r="E53" s="7">
        <f>7.48717199999999 * $B$37 / 100</f>
        <v>7.4871719999999904</v>
      </c>
    </row>
    <row r="54" spans="1:5" x14ac:dyDescent="0.25">
      <c r="A54" s="5">
        <v>320</v>
      </c>
      <c r="B54" s="6">
        <v>60.884618776345263</v>
      </c>
      <c r="C54" s="6">
        <f>60.8846187763452 * $B$37 / 100</f>
        <v>60.884618776345199</v>
      </c>
      <c r="D54" s="6">
        <v>7.6713266666666664</v>
      </c>
      <c r="E54" s="7">
        <f>7.67132666666666 * $B$37 / 100</f>
        <v>7.6713266666666611</v>
      </c>
    </row>
    <row r="55" spans="1:5" x14ac:dyDescent="0.25">
      <c r="A55" s="5">
        <v>336</v>
      </c>
      <c r="B55" s="6">
        <v>62.346189527152163</v>
      </c>
      <c r="C55" s="6">
        <f>62.3461895271521 * $B$37 / 100</f>
        <v>62.346189527152099</v>
      </c>
      <c r="D55" s="6">
        <v>7.8554813333333344</v>
      </c>
      <c r="E55" s="7">
        <f>7.85548133333333 * $B$37 / 100</f>
        <v>7.85548133333333</v>
      </c>
    </row>
    <row r="56" spans="1:5" x14ac:dyDescent="0.25">
      <c r="A56" s="5">
        <v>352</v>
      </c>
      <c r="B56" s="6">
        <v>63.807760277959048</v>
      </c>
      <c r="C56" s="6">
        <f>63.807760277959 * $B$37 / 100</f>
        <v>63.807760277958998</v>
      </c>
      <c r="D56" s="6">
        <v>8.0396359999999998</v>
      </c>
      <c r="E56" s="7">
        <f>8.039636 * $B$37 / 100</f>
        <v>8.0396359999999998</v>
      </c>
    </row>
    <row r="57" spans="1:5" x14ac:dyDescent="0.25">
      <c r="A57" s="5">
        <v>368</v>
      </c>
      <c r="B57" s="6">
        <v>65.269331028765947</v>
      </c>
      <c r="C57" s="6">
        <f>65.2693310287659 * $B$37 / 100</f>
        <v>65.269331028765905</v>
      </c>
      <c r="D57" s="6">
        <v>8.2237906666666678</v>
      </c>
      <c r="E57" s="7">
        <f>8.22379066666666 * $B$37 / 100</f>
        <v>8.2237906666666607</v>
      </c>
    </row>
    <row r="58" spans="1:5" x14ac:dyDescent="0.25">
      <c r="A58" s="5">
        <v>384</v>
      </c>
      <c r="B58" s="6">
        <v>66.730901779572832</v>
      </c>
      <c r="C58" s="6">
        <f>66.7309017795728 * $B$37 / 100</f>
        <v>66.730901779572804</v>
      </c>
      <c r="D58" s="6">
        <v>8.4079453333333323</v>
      </c>
      <c r="E58" s="7">
        <f>8.40794533333333 * $B$37 / 100</f>
        <v>8.4079453333333305</v>
      </c>
    </row>
    <row r="59" spans="1:5" x14ac:dyDescent="0.25">
      <c r="A59" s="5">
        <v>400</v>
      </c>
      <c r="B59" s="6">
        <v>68.192472530379732</v>
      </c>
      <c r="C59" s="6">
        <f>68.1924725303797 * $B$37 / 100</f>
        <v>68.192472530379703</v>
      </c>
      <c r="D59" s="6">
        <v>8.5921000000000003</v>
      </c>
      <c r="E59" s="7">
        <f>8.5921 * $B$37 / 100</f>
        <v>8.5921000000000003</v>
      </c>
    </row>
    <row r="60" spans="1:5" x14ac:dyDescent="0.25">
      <c r="A60" s="5">
        <v>416</v>
      </c>
      <c r="B60" s="6">
        <v>69.481003192296171</v>
      </c>
      <c r="C60" s="6">
        <f>69.4810031922961 * $B$37 / 100</f>
        <v>69.4810031922961</v>
      </c>
      <c r="D60" s="6">
        <v>8.7544520000000006</v>
      </c>
      <c r="E60" s="7">
        <f>8.754452 * $B$37 / 100</f>
        <v>8.7544520000000006</v>
      </c>
    </row>
    <row r="61" spans="1:5" x14ac:dyDescent="0.25">
      <c r="A61" s="5">
        <v>432</v>
      </c>
      <c r="B61" s="6">
        <v>70.769533854212611</v>
      </c>
      <c r="C61" s="6">
        <f>70.7695338542126 * $B$37 / 100</f>
        <v>70.769533854212597</v>
      </c>
      <c r="D61" s="6">
        <v>8.9168040000000026</v>
      </c>
      <c r="E61" s="7">
        <f>8.916804 * $B$37 / 100</f>
        <v>8.9168040000000008</v>
      </c>
    </row>
    <row r="62" spans="1:5" x14ac:dyDescent="0.25">
      <c r="A62" s="5">
        <v>448</v>
      </c>
      <c r="B62" s="6">
        <v>72.058064516129036</v>
      </c>
      <c r="C62" s="6">
        <f>72.058064516129 * $B$37 / 100</f>
        <v>72.058064516128994</v>
      </c>
      <c r="D62" s="6">
        <v>9.0791560000000011</v>
      </c>
      <c r="E62" s="7">
        <f>9.079156 * $B$37 / 100</f>
        <v>9.0791559999999993</v>
      </c>
    </row>
    <row r="63" spans="1:5" x14ac:dyDescent="0.25">
      <c r="A63" s="5">
        <v>464</v>
      </c>
      <c r="B63" s="6">
        <v>73.346595178045476</v>
      </c>
      <c r="C63" s="6">
        <f>73.3465951780454 * $B$37 / 100</f>
        <v>73.346595178045405</v>
      </c>
      <c r="D63" s="6">
        <v>9.2415079999999996</v>
      </c>
      <c r="E63" s="7">
        <f>9.241508 * $B$37 / 100</f>
        <v>9.2415079999999996</v>
      </c>
    </row>
    <row r="64" spans="1:5" x14ac:dyDescent="0.25">
      <c r="A64" s="5">
        <v>480</v>
      </c>
      <c r="B64" s="6">
        <v>74.635125839961916</v>
      </c>
      <c r="C64" s="6">
        <f>74.6351258399619 * $B$37 / 100</f>
        <v>74.635125839961901</v>
      </c>
      <c r="D64" s="6">
        <v>9.4038599999999999</v>
      </c>
      <c r="E64" s="7">
        <f>9.40386 * $B$37 / 100</f>
        <v>9.4038599999999999</v>
      </c>
    </row>
    <row r="65" spans="1:18" x14ac:dyDescent="0.25">
      <c r="A65" s="5">
        <v>496</v>
      </c>
      <c r="B65" s="6">
        <v>75.923656501878355</v>
      </c>
      <c r="C65" s="6">
        <f>75.9236565018783 * $B$37 / 100</f>
        <v>75.923656501878298</v>
      </c>
      <c r="D65" s="6">
        <v>9.5662120000000019</v>
      </c>
      <c r="E65" s="7">
        <f>9.566212 * $B$37 / 100</f>
        <v>9.5662120000000002</v>
      </c>
    </row>
    <row r="66" spans="1:18" x14ac:dyDescent="0.25">
      <c r="A66" s="5">
        <v>512</v>
      </c>
      <c r="B66" s="6">
        <v>77.103264607841425</v>
      </c>
      <c r="C66" s="6">
        <f>77.1032646078414 * $B$37 / 100</f>
        <v>77.103264607841396</v>
      </c>
      <c r="D66" s="6">
        <v>9.7148400000000024</v>
      </c>
      <c r="E66" s="7">
        <f>9.71484 * $B$37 / 100</f>
        <v>9.7148400000000006</v>
      </c>
    </row>
    <row r="67" spans="1:18" x14ac:dyDescent="0.25">
      <c r="A67" s="5">
        <v>528</v>
      </c>
      <c r="B67" s="6">
        <v>78.246565195153366</v>
      </c>
      <c r="C67" s="6">
        <f>78.2465651951533 * $B$37 / 100</f>
        <v>78.246565195153295</v>
      </c>
      <c r="D67" s="6">
        <v>9.8588933333333344</v>
      </c>
      <c r="E67" s="7">
        <f>9.85889333333333 * $B$37 / 100</f>
        <v>9.8588933333333308</v>
      </c>
    </row>
    <row r="68" spans="1:18" x14ac:dyDescent="0.25">
      <c r="A68" s="5">
        <v>544</v>
      </c>
      <c r="B68" s="6">
        <v>79.389865782465307</v>
      </c>
      <c r="C68" s="6">
        <f>79.3898657824653 * $B$37 / 100</f>
        <v>79.389865782465293</v>
      </c>
      <c r="D68" s="6">
        <v>10.00294666666667</v>
      </c>
      <c r="E68" s="7">
        <f>10.0029466666666 * $B$37 / 100</f>
        <v>10.002946666666601</v>
      </c>
    </row>
    <row r="69" spans="1:18" x14ac:dyDescent="0.25">
      <c r="A69" s="5">
        <v>560</v>
      </c>
      <c r="B69" s="6">
        <v>80.533166369777263</v>
      </c>
      <c r="C69" s="6">
        <f>80.5331663697772 * $B$37 / 100</f>
        <v>80.533166369777206</v>
      </c>
      <c r="D69" s="6">
        <v>10.147</v>
      </c>
      <c r="E69" s="7">
        <f>10.147 * $B$37 / 100</f>
        <v>10.147</v>
      </c>
    </row>
    <row r="70" spans="1:18" x14ac:dyDescent="0.25">
      <c r="A70" s="5">
        <v>576</v>
      </c>
      <c r="B70" s="6">
        <v>81.676466957089204</v>
      </c>
      <c r="C70" s="6">
        <f>81.6764669570892 * $B$37 / 100</f>
        <v>81.676466957089204</v>
      </c>
      <c r="D70" s="6">
        <v>10.29105333333333</v>
      </c>
      <c r="E70" s="7">
        <f>10.2910533333333 * $B$37 / 100</f>
        <v>10.2910533333333</v>
      </c>
    </row>
    <row r="71" spans="1:18" x14ac:dyDescent="0.25">
      <c r="A71" s="5">
        <v>592</v>
      </c>
      <c r="B71" s="6">
        <v>82.819767544401145</v>
      </c>
      <c r="C71" s="6">
        <f>82.8197675444011 * $B$37 / 100</f>
        <v>82.819767544401117</v>
      </c>
      <c r="D71" s="6">
        <v>10.43510666666667</v>
      </c>
      <c r="E71" s="7">
        <f>10.4351066666666 * $B$37 / 100</f>
        <v>10.4351066666666</v>
      </c>
    </row>
    <row r="72" spans="1:18" x14ac:dyDescent="0.25">
      <c r="A72" s="5">
        <v>608</v>
      </c>
      <c r="B72" s="6">
        <v>83.931492020338979</v>
      </c>
      <c r="C72" s="6">
        <f>83.9314920203389 * $B$37 / 100</f>
        <v>83.931492020338908</v>
      </c>
      <c r="D72" s="6">
        <v>10.575181480135999</v>
      </c>
      <c r="E72" s="7">
        <f>10.575181480136 * $B$37 / 100</f>
        <v>10.575181480136001</v>
      </c>
    </row>
    <row r="73" spans="1:18" x14ac:dyDescent="0.25">
      <c r="A73" s="5">
        <v>624</v>
      </c>
      <c r="B73" s="6">
        <v>85.028682274934795</v>
      </c>
      <c r="C73" s="6">
        <f>85.0286822749348 * $B$37 / 100</f>
        <v>85.028682274934795</v>
      </c>
      <c r="D73" s="6">
        <v>10.71342501401451</v>
      </c>
      <c r="E73" s="7">
        <f>10.7134250140145 * $B$37 / 100</f>
        <v>10.713425014014501</v>
      </c>
    </row>
    <row r="74" spans="1:18" x14ac:dyDescent="0.25">
      <c r="A74" s="8">
        <v>640</v>
      </c>
      <c r="B74" s="9">
        <v>86.111893871075651</v>
      </c>
      <c r="C74" s="9">
        <f>86.1118938710756 * $B$37 / 100</f>
        <v>86.111893871075594</v>
      </c>
      <c r="D74" s="9">
        <v>10.84990726799137</v>
      </c>
      <c r="E74" s="10">
        <f>10.8499072679913 * $B$37 / 100</f>
        <v>10.8499072679913</v>
      </c>
    </row>
    <row r="76" spans="1:18" ht="28.9" customHeight="1" x14ac:dyDescent="0.5">
      <c r="A76" s="1" t="s">
        <v>25</v>
      </c>
      <c r="B76" s="1"/>
    </row>
    <row r="77" spans="1:18" x14ac:dyDescent="0.25">
      <c r="A77" s="21" t="s">
        <v>26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27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28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18" ht="28.9" customHeight="1" x14ac:dyDescent="0.5">
      <c r="A81" s="1" t="s">
        <v>29</v>
      </c>
      <c r="B81" s="1"/>
    </row>
    <row r="82" spans="1:18" x14ac:dyDescent="0.25">
      <c r="A82" s="24" t="s">
        <v>30</v>
      </c>
      <c r="B82" s="25" t="s">
        <v>31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6"/>
    </row>
    <row r="83" spans="1:18" x14ac:dyDescent="0.25">
      <c r="A83" s="27" t="s">
        <v>41</v>
      </c>
      <c r="B83" s="28">
        <v>4</v>
      </c>
      <c r="C83" s="28">
        <v>5</v>
      </c>
      <c r="D83" s="28">
        <v>6</v>
      </c>
      <c r="E83" s="28">
        <v>7</v>
      </c>
      <c r="F83" s="28">
        <v>8</v>
      </c>
      <c r="G83" s="28">
        <v>9</v>
      </c>
      <c r="H83" s="28">
        <v>10</v>
      </c>
      <c r="I83" s="28">
        <v>11</v>
      </c>
      <c r="J83" s="28">
        <v>12</v>
      </c>
      <c r="K83" s="28">
        <v>13</v>
      </c>
      <c r="L83" s="28">
        <v>14</v>
      </c>
      <c r="M83" s="28">
        <v>15</v>
      </c>
      <c r="N83" s="28">
        <v>16</v>
      </c>
      <c r="O83" s="28">
        <v>17</v>
      </c>
      <c r="P83" s="28">
        <v>18</v>
      </c>
      <c r="Q83" s="28">
        <v>19</v>
      </c>
      <c r="R83" s="29">
        <v>20</v>
      </c>
    </row>
    <row r="84" spans="1:18" x14ac:dyDescent="0.25">
      <c r="A84" s="30">
        <v>128</v>
      </c>
      <c r="B84" s="31">
        <v>5.8555469633448656</v>
      </c>
      <c r="C84" s="31">
        <v>4.747813921770593</v>
      </c>
      <c r="D84" s="31">
        <v>3.814001098874972</v>
      </c>
      <c r="E84" s="31">
        <v>3.0416022070192512</v>
      </c>
      <c r="F84" s="31">
        <v>2.4168103367249931</v>
      </c>
      <c r="G84" s="31">
        <v>1.924517956674068</v>
      </c>
      <c r="H84" s="31">
        <v>1.548316913708671</v>
      </c>
      <c r="I84" s="31">
        <v>1.2704984328313049</v>
      </c>
      <c r="J84" s="31">
        <v>1.0720531172048</v>
      </c>
      <c r="K84" s="31">
        <v>0.93267094815229223</v>
      </c>
      <c r="L84" s="31">
        <v>0.830741285157232</v>
      </c>
      <c r="M84" s="31">
        <v>0.74335286586340166</v>
      </c>
      <c r="N84" s="31">
        <v>0.64629380607488351</v>
      </c>
      <c r="O84" s="31">
        <v>0.51405159975607717</v>
      </c>
      <c r="P84" s="31">
        <v>0.319813119031716</v>
      </c>
      <c r="Q84" s="31">
        <v>3.5464614186820641E-2</v>
      </c>
      <c r="R84" s="32">
        <v>-0.36840828633323858</v>
      </c>
    </row>
    <row r="85" spans="1:18" x14ac:dyDescent="0.25">
      <c r="A85" s="30">
        <v>144</v>
      </c>
      <c r="B85" s="31">
        <v>5.8998442755289719</v>
      </c>
      <c r="C85" s="31">
        <v>4.7757095499282984</v>
      </c>
      <c r="D85" s="31">
        <v>3.82985336019772</v>
      </c>
      <c r="E85" s="31">
        <v>3.0492576081991398</v>
      </c>
      <c r="F85" s="31">
        <v>2.419603573954769</v>
      </c>
      <c r="G85" s="31">
        <v>1.925271915647139</v>
      </c>
      <c r="H85" s="31">
        <v>1.5493426696190951</v>
      </c>
      <c r="I85" s="31">
        <v>1.273595250373796</v>
      </c>
      <c r="J85" s="31">
        <v>1.0785084505747231</v>
      </c>
      <c r="K85" s="31">
        <v>0.94326044104567286</v>
      </c>
      <c r="L85" s="31">
        <v>0.84572877077075059</v>
      </c>
      <c r="M85" s="31">
        <v>0.76249036689438632</v>
      </c>
      <c r="N85" s="31">
        <v>0.66882153472132477</v>
      </c>
      <c r="O85" s="31">
        <v>0.53869795771661644</v>
      </c>
      <c r="P85" s="31">
        <v>0.3447946975056464</v>
      </c>
      <c r="Q85" s="31">
        <v>5.8486193874095677E-2</v>
      </c>
      <c r="R85" s="32">
        <v>-0.35015373523201998</v>
      </c>
    </row>
    <row r="86" spans="1:18" x14ac:dyDescent="0.25">
      <c r="A86" s="30">
        <v>160</v>
      </c>
      <c r="B86" s="31">
        <v>5.9520476845985018</v>
      </c>
      <c r="C86" s="31">
        <v>4.8100371537713604</v>
      </c>
      <c r="D86" s="31">
        <v>3.8507689343160552</v>
      </c>
      <c r="E86" s="31">
        <v>3.0607131175951352</v>
      </c>
      <c r="F86" s="31">
        <v>2.425039173131474</v>
      </c>
      <c r="G86" s="31">
        <v>1.9276159486082529</v>
      </c>
      <c r="H86" s="31">
        <v>1.5510116698689751</v>
      </c>
      <c r="I86" s="31">
        <v>1.2764939409174521</v>
      </c>
      <c r="J86" s="31">
        <v>1.0840297439178219</v>
      </c>
      <c r="K86" s="31">
        <v>0.95228543919453257</v>
      </c>
      <c r="L86" s="31">
        <v>0.8586267652323476</v>
      </c>
      <c r="M86" s="31">
        <v>0.77911883867634979</v>
      </c>
      <c r="N86" s="31">
        <v>0.6885261543319362</v>
      </c>
      <c r="O86" s="31">
        <v>0.5603125851648203</v>
      </c>
      <c r="P86" s="31">
        <v>0.36664138230103582</v>
      </c>
      <c r="Q86" s="31">
        <v>7.8375175026907953E-2</v>
      </c>
      <c r="R86" s="32">
        <v>-0.33492402921087278</v>
      </c>
    </row>
    <row r="87" spans="1:18" x14ac:dyDescent="0.25">
      <c r="A87" s="30">
        <v>176</v>
      </c>
      <c r="B87" s="31">
        <v>6.0121691396208359</v>
      </c>
      <c r="C87" s="31">
        <v>4.8508293814952026</v>
      </c>
      <c r="D87" s="31">
        <v>3.8768011685534378</v>
      </c>
      <c r="E87" s="31">
        <v>3.0760427816587552</v>
      </c>
      <c r="F87" s="31">
        <v>2.4332118798346718</v>
      </c>
      <c r="G87" s="31">
        <v>1.9316655002650269</v>
      </c>
      <c r="H87" s="31">
        <v>1.5534600582939799</v>
      </c>
      <c r="I87" s="31">
        <v>1.2793513474259961</v>
      </c>
      <c r="J87" s="31">
        <v>1.088794539325864</v>
      </c>
      <c r="K87" s="31">
        <v>0.95994418381869173</v>
      </c>
      <c r="L87" s="31">
        <v>0.86965420888989442</v>
      </c>
      <c r="M87" s="31">
        <v>0.79347792068521394</v>
      </c>
      <c r="N87" s="31">
        <v>0.70566800351069348</v>
      </c>
      <c r="O87" s="31">
        <v>0.57917651983270813</v>
      </c>
      <c r="P87" s="31">
        <v>0.38565491027794191</v>
      </c>
      <c r="Q87" s="31">
        <v>9.5453993633377365E-2</v>
      </c>
      <c r="R87" s="32">
        <v>-0.32237603315363661</v>
      </c>
    </row>
    <row r="88" spans="1:18" x14ac:dyDescent="0.25">
      <c r="A88" s="30">
        <v>192</v>
      </c>
      <c r="B88" s="31">
        <v>6.0802102036549979</v>
      </c>
      <c r="C88" s="31">
        <v>4.8981084952869063</v>
      </c>
      <c r="D88" s="31">
        <v>3.9079930242250129</v>
      </c>
      <c r="E88" s="31">
        <v>3.0953102608331862</v>
      </c>
      <c r="F88" s="31">
        <v>2.444206053635599</v>
      </c>
      <c r="G88" s="31">
        <v>1.937525629316748</v>
      </c>
      <c r="H88" s="31">
        <v>1.556813592721443</v>
      </c>
      <c r="I88" s="31">
        <v>1.2823139268548049</v>
      </c>
      <c r="J88" s="31">
        <v>1.092969992882282</v>
      </c>
      <c r="K88" s="31">
        <v>0.96642453012963181</v>
      </c>
      <c r="L88" s="31">
        <v>0.87901965608292287</v>
      </c>
      <c r="M88" s="31">
        <v>0.80579686638854975</v>
      </c>
      <c r="N88" s="31">
        <v>0.72049703485322436</v>
      </c>
      <c r="O88" s="31">
        <v>0.59556041344395461</v>
      </c>
      <c r="P88" s="31">
        <v>0.40212663228810192</v>
      </c>
      <c r="Q88" s="31">
        <v>0.110034699673295</v>
      </c>
      <c r="R88" s="32">
        <v>-0.31217699795247361</v>
      </c>
    </row>
    <row r="89" spans="1:18" x14ac:dyDescent="0.25">
      <c r="A89" s="30">
        <v>208</v>
      </c>
      <c r="B89" s="31">
        <v>6.1561620537516948</v>
      </c>
      <c r="C89" s="31">
        <v>4.9518863713252168</v>
      </c>
      <c r="D89" s="31">
        <v>3.944377076637569</v>
      </c>
      <c r="E89" s="31">
        <v>3.118568829553269</v>
      </c>
      <c r="F89" s="31">
        <v>2.4580956680971489</v>
      </c>
      <c r="G89" s="31">
        <v>1.945291008454356</v>
      </c>
      <c r="H89" s="31">
        <v>1.561187644970355</v>
      </c>
      <c r="I89" s="31">
        <v>1.2855177501509261</v>
      </c>
      <c r="J89" s="31">
        <v>1.096712874662167</v>
      </c>
      <c r="K89" s="31">
        <v>0.97190394733049112</v>
      </c>
      <c r="L89" s="31">
        <v>0.88692127514262187</v>
      </c>
      <c r="M89" s="31">
        <v>0.81629454324561324</v>
      </c>
      <c r="N89" s="31">
        <v>0.73325281494682137</v>
      </c>
      <c r="O89" s="31">
        <v>0.60972453171391261</v>
      </c>
      <c r="P89" s="31">
        <v>0.41633751317490819</v>
      </c>
      <c r="Q89" s="31">
        <v>0.1224189571180947</v>
      </c>
      <c r="R89" s="32">
        <v>-0.30400456050789681</v>
      </c>
    </row>
    <row r="90" spans="1:18" x14ac:dyDescent="0.25">
      <c r="A90" s="30">
        <v>224</v>
      </c>
      <c r="B90" s="31">
        <v>6.2400054809532737</v>
      </c>
      <c r="C90" s="31">
        <v>5.0121644997805408</v>
      </c>
      <c r="D90" s="31">
        <v>3.9859755150895588</v>
      </c>
      <c r="E90" s="31">
        <v>3.145861376245509</v>
      </c>
      <c r="F90" s="31">
        <v>2.4749443107738718</v>
      </c>
      <c r="G90" s="31">
        <v>1.955045924360453</v>
      </c>
      <c r="H90" s="31">
        <v>1.566687200851371</v>
      </c>
      <c r="I90" s="31">
        <v>1.289088502253056</v>
      </c>
      <c r="J90" s="31">
        <v>1.100169568732267</v>
      </c>
      <c r="K90" s="31">
        <v>0.97654951861606853</v>
      </c>
      <c r="L90" s="31">
        <v>0.89354684839184129</v>
      </c>
      <c r="M90" s="31">
        <v>0.82517943270728966</v>
      </c>
      <c r="N90" s="31">
        <v>0.74416452437042313</v>
      </c>
      <c r="O90" s="31">
        <v>0.62191875434957766</v>
      </c>
      <c r="P90" s="31">
        <v>0.4285581317734099</v>
      </c>
      <c r="Q90" s="31">
        <v>0.1328980439308616</v>
      </c>
      <c r="R90" s="32">
        <v>-0.2975467437287645</v>
      </c>
    </row>
    <row r="91" spans="1:18" x14ac:dyDescent="0.25">
      <c r="A91" s="30">
        <v>240</v>
      </c>
      <c r="B91" s="31">
        <v>6.331710890293742</v>
      </c>
      <c r="C91" s="31">
        <v>5.0789339848149329</v>
      </c>
      <c r="D91" s="31">
        <v>4.0328001428710971</v>
      </c>
      <c r="E91" s="31">
        <v>3.1772204033280649</v>
      </c>
      <c r="F91" s="31">
        <v>2.4948051832119811</v>
      </c>
      <c r="G91" s="31">
        <v>1.9668642777092999</v>
      </c>
      <c r="H91" s="31">
        <v>1.573406860166797</v>
      </c>
      <c r="I91" s="31">
        <v>1.2931414820915601</v>
      </c>
      <c r="J91" s="31">
        <v>1.1034760731509941</v>
      </c>
      <c r="K91" s="31">
        <v>0.98051794117282676</v>
      </c>
      <c r="L91" s="31">
        <v>0.89907377214509065</v>
      </c>
      <c r="M91" s="31">
        <v>0.8326496302161428</v>
      </c>
      <c r="N91" s="31">
        <v>0.75345095769465242</v>
      </c>
      <c r="O91" s="31">
        <v>0.63238257504960138</v>
      </c>
      <c r="P91" s="31">
        <v>0.43904868091030191</v>
      </c>
      <c r="Q91" s="31">
        <v>0.1417528520663644</v>
      </c>
      <c r="R91" s="32">
        <v>-0.29250195653226457</v>
      </c>
    </row>
    <row r="92" spans="1:18" x14ac:dyDescent="0.25">
      <c r="A92" s="30">
        <v>256</v>
      </c>
      <c r="B92" s="31">
        <v>6.4312383007987952</v>
      </c>
      <c r="C92" s="31">
        <v>5.1521755445821276</v>
      </c>
      <c r="D92" s="31">
        <v>4.0848523772639576</v>
      </c>
      <c r="E92" s="31">
        <v>3.2126680272107708</v>
      </c>
      <c r="F92" s="31">
        <v>2.517721100949355</v>
      </c>
      <c r="G92" s="31">
        <v>1.980809583166828</v>
      </c>
      <c r="H92" s="31">
        <v>1.581430836710618</v>
      </c>
      <c r="I92" s="31">
        <v>1.297781602588465</v>
      </c>
      <c r="J92" s="31">
        <v>1.1067579999684309</v>
      </c>
      <c r="K92" s="31">
        <v>0.9839555261788977</v>
      </c>
      <c r="L92" s="31">
        <v>0.90366905670854836</v>
      </c>
      <c r="M92" s="31">
        <v>0.83889284520640373</v>
      </c>
      <c r="N92" s="31">
        <v>0.76132052348177659</v>
      </c>
      <c r="O92" s="31">
        <v>0.64134510150431556</v>
      </c>
      <c r="P92" s="31">
        <v>0.44805896740398071</v>
      </c>
      <c r="Q92" s="31">
        <v>0.1492538874710298</v>
      </c>
      <c r="R92" s="32">
        <v>-0.28857899384392921</v>
      </c>
    </row>
    <row r="93" spans="1:18" x14ac:dyDescent="0.25">
      <c r="A93" s="30">
        <v>272</v>
      </c>
      <c r="B93" s="31">
        <v>6.5385373454857518</v>
      </c>
      <c r="C93" s="31">
        <v>5.231859511227511</v>
      </c>
      <c r="D93" s="31">
        <v>4.1421232495415818</v>
      </c>
      <c r="E93" s="31">
        <v>3.252215978295105</v>
      </c>
      <c r="F93" s="31">
        <v>2.5437244935155272</v>
      </c>
      <c r="G93" s="31">
        <v>1.9969349693906171</v>
      </c>
      <c r="H93" s="31">
        <v>1.5908329582684591</v>
      </c>
      <c r="I93" s="31">
        <v>1.3031033906574481</v>
      </c>
      <c r="J93" s="31">
        <v>1.110130575226302</v>
      </c>
      <c r="K93" s="31">
        <v>0.98699819880405382</v>
      </c>
      <c r="L93" s="31">
        <v>0.90748932638004898</v>
      </c>
      <c r="M93" s="31">
        <v>0.84408640110394717</v>
      </c>
      <c r="N93" s="31">
        <v>0.76797124428573316</v>
      </c>
      <c r="O93" s="31">
        <v>0.6490250553956961</v>
      </c>
      <c r="P93" s="31">
        <v>0.45582841206446117</v>
      </c>
      <c r="Q93" s="31">
        <v>0.1556612700829412</v>
      </c>
      <c r="R93" s="32">
        <v>-0.28549703659760262</v>
      </c>
    </row>
    <row r="94" spans="1:18" x14ac:dyDescent="0.25">
      <c r="A94" s="30">
        <v>288</v>
      </c>
      <c r="B94" s="31">
        <v>6.6535472713636192</v>
      </c>
      <c r="C94" s="31">
        <v>5.3179458308881262</v>
      </c>
      <c r="D94" s="31">
        <v>4.2045934049690619</v>
      </c>
      <c r="E94" s="31">
        <v>3.295865600974218</v>
      </c>
      <c r="F94" s="31">
        <v>2.5728374044316942</v>
      </c>
      <c r="G94" s="31">
        <v>2.0152831790299159</v>
      </c>
      <c r="H94" s="31">
        <v>1.601676666617623</v>
      </c>
      <c r="I94" s="31">
        <v>1.3091909872038621</v>
      </c>
      <c r="J94" s="31">
        <v>1.113698638958009</v>
      </c>
      <c r="K94" s="31">
        <v>0.98977149820974553</v>
      </c>
      <c r="L94" s="31">
        <v>0.9106808194490783</v>
      </c>
      <c r="M94" s="31">
        <v>0.84839723532632294</v>
      </c>
      <c r="N94" s="31">
        <v>0.77359075665211219</v>
      </c>
      <c r="O94" s="31">
        <v>0.65563077239739531</v>
      </c>
      <c r="P94" s="31">
        <v>0.46258604969344569</v>
      </c>
      <c r="Q94" s="31">
        <v>0.16122473383184219</v>
      </c>
      <c r="R94" s="32">
        <v>-0.28298565173552431</v>
      </c>
    </row>
    <row r="95" spans="1:18" x14ac:dyDescent="0.25">
      <c r="A95" s="30">
        <v>304</v>
      </c>
      <c r="B95" s="31">
        <v>6.7761969394330483</v>
      </c>
      <c r="C95" s="31">
        <v>5.4103840636926854</v>
      </c>
      <c r="D95" s="31">
        <v>4.2722331028031526</v>
      </c>
      <c r="E95" s="31">
        <v>3.343607853632911</v>
      </c>
      <c r="F95" s="31">
        <v>2.6050714912107109</v>
      </c>
      <c r="G95" s="31">
        <v>2.0358865687256289</v>
      </c>
      <c r="H95" s="31">
        <v>1.6140150175270589</v>
      </c>
      <c r="I95" s="31">
        <v>1.316118147124705</v>
      </c>
      <c r="J95" s="31">
        <v>1.1175566451886001</v>
      </c>
      <c r="K95" s="31">
        <v>0.99239057754907833</v>
      </c>
      <c r="L95" s="31">
        <v>0.91337938819679509</v>
      </c>
      <c r="M95" s="31">
        <v>0.85198189928272949</v>
      </c>
      <c r="N95" s="31">
        <v>0.77835631111816594</v>
      </c>
      <c r="O95" s="31">
        <v>0.66136020217470415</v>
      </c>
      <c r="P95" s="31">
        <v>0.4685505290842828</v>
      </c>
      <c r="Q95" s="31">
        <v>0.16618362663911229</v>
      </c>
      <c r="R95" s="32">
        <v>-0.28078479220822672</v>
      </c>
    </row>
    <row r="96" spans="1:18" x14ac:dyDescent="0.25">
      <c r="A96" s="30">
        <v>320</v>
      </c>
      <c r="B96" s="31">
        <v>6.9064048246863674</v>
      </c>
      <c r="C96" s="31">
        <v>5.5091133837615542</v>
      </c>
      <c r="D96" s="31">
        <v>4.3450022162922846</v>
      </c>
      <c r="E96" s="31">
        <v>3.3954233086476622</v>
      </c>
      <c r="F96" s="31">
        <v>2.6404280253570982</v>
      </c>
      <c r="G96" s="31">
        <v>2.0587671091103261</v>
      </c>
      <c r="H96" s="31">
        <v>1.6278906807573921</v>
      </c>
      <c r="I96" s="31">
        <v>1.323948239308653</v>
      </c>
      <c r="J96" s="31">
        <v>1.1217886619348001</v>
      </c>
      <c r="K96" s="31">
        <v>0.99496020396681673</v>
      </c>
      <c r="L96" s="31">
        <v>0.91571049889602107</v>
      </c>
      <c r="M96" s="31">
        <v>0.8549865583740377</v>
      </c>
      <c r="N96" s="31">
        <v>0.78243477221281321</v>
      </c>
      <c r="O96" s="31">
        <v>0.66640090838460087</v>
      </c>
      <c r="P96" s="31">
        <v>0.47393011302198401</v>
      </c>
      <c r="Q96" s="31">
        <v>0.1707669104178447</v>
      </c>
      <c r="R96" s="32">
        <v>-0.27864479697459998</v>
      </c>
    </row>
    <row r="97" spans="1:18" x14ac:dyDescent="0.25">
      <c r="A97" s="30">
        <v>336</v>
      </c>
      <c r="B97" s="31">
        <v>7.0440790161075491</v>
      </c>
      <c r="C97" s="31">
        <v>5.6140625792067622</v>
      </c>
      <c r="D97" s="31">
        <v>4.4228502326765238</v>
      </c>
      <c r="E97" s="31">
        <v>3.4512821523865909</v>
      </c>
      <c r="F97" s="31">
        <v>2.678897892367031</v>
      </c>
      <c r="G97" s="31">
        <v>2.0839363848082328</v>
      </c>
      <c r="H97" s="31">
        <v>1.6433359400608929</v>
      </c>
      <c r="I97" s="31">
        <v>1.332734246636029</v>
      </c>
      <c r="J97" s="31">
        <v>1.126468371204981</v>
      </c>
      <c r="K97" s="31">
        <v>0.99757475859939004</v>
      </c>
      <c r="L97" s="31">
        <v>0.91778923181122996</v>
      </c>
      <c r="M97" s="31">
        <v>0.8575469919927784</v>
      </c>
      <c r="N97" s="31">
        <v>0.78598261845663064</v>
      </c>
      <c r="O97" s="31">
        <v>0.67093006867569815</v>
      </c>
      <c r="P97" s="31">
        <v>0.47892267828323293</v>
      </c>
      <c r="Q97" s="31">
        <v>0.1751931610727499</v>
      </c>
      <c r="R97" s="32">
        <v>-0.27632639100186468</v>
      </c>
    </row>
    <row r="98" spans="1:18" x14ac:dyDescent="0.25">
      <c r="A98" s="30">
        <v>352</v>
      </c>
      <c r="B98" s="31">
        <v>7.1891172166722379</v>
      </c>
      <c r="C98" s="31">
        <v>5.7251500521320038</v>
      </c>
      <c r="D98" s="31">
        <v>4.5057162531876154</v>
      </c>
      <c r="E98" s="31">
        <v>3.5111441852094951</v>
      </c>
      <c r="F98" s="31">
        <v>2.720461591728355</v>
      </c>
      <c r="G98" s="31">
        <v>2.1113955944352401</v>
      </c>
      <c r="H98" s="31">
        <v>1.660372693181507</v>
      </c>
      <c r="I98" s="31">
        <v>1.342518765978824</v>
      </c>
      <c r="J98" s="31">
        <v>1.1316590689991819</v>
      </c>
      <c r="K98" s="31">
        <v>1.0003182365748859</v>
      </c>
      <c r="L98" s="31">
        <v>0.91972028119855376</v>
      </c>
      <c r="M98" s="31">
        <v>0.85978859352312542</v>
      </c>
      <c r="N98" s="31">
        <v>0.78914594236185109</v>
      </c>
      <c r="O98" s="31">
        <v>0.6751144746883001</v>
      </c>
      <c r="P98" s="31">
        <v>0.48371571563635918</v>
      </c>
      <c r="Q98" s="31">
        <v>0.17967056850021909</v>
      </c>
      <c r="R98" s="32">
        <v>-0.27360068526558118</v>
      </c>
    </row>
    <row r="99" spans="1:18" x14ac:dyDescent="0.25">
      <c r="A99" s="30">
        <v>368</v>
      </c>
      <c r="B99" s="31">
        <v>7.3414067433477337</v>
      </c>
      <c r="C99" s="31">
        <v>5.8422838186326249</v>
      </c>
      <c r="D99" s="31">
        <v>4.5935289930489649</v>
      </c>
      <c r="E99" s="31">
        <v>3.574958821467817</v>
      </c>
      <c r="F99" s="31">
        <v>2.7650892369205629</v>
      </c>
      <c r="G99" s="31">
        <v>2.1411355505988952</v>
      </c>
      <c r="H99" s="31">
        <v>1.6790124518548271</v>
      </c>
      <c r="I99" s="31">
        <v>1.353334008200678</v>
      </c>
      <c r="J99" s="31">
        <v>1.1374136653091</v>
      </c>
      <c r="K99" s="31">
        <v>1.0032642470130471</v>
      </c>
      <c r="L99" s="31">
        <v>0.92159795530579514</v>
      </c>
      <c r="M99" s="31">
        <v>0.8618263703409369</v>
      </c>
      <c r="N99" s="31">
        <v>0.7920604504323755</v>
      </c>
      <c r="O99" s="31">
        <v>0.67911053205432914</v>
      </c>
      <c r="P99" s="31">
        <v>0.48848632984135598</v>
      </c>
      <c r="Q99" s="31">
        <v>0.18439693658829451</v>
      </c>
      <c r="R99" s="32">
        <v>-0.27024917674966531</v>
      </c>
    </row>
    <row r="100" spans="1:18" x14ac:dyDescent="0.25">
      <c r="A100" s="30">
        <v>384</v>
      </c>
      <c r="B100" s="31">
        <v>7.5008245270929983</v>
      </c>
      <c r="C100" s="31">
        <v>5.9653615087956373</v>
      </c>
      <c r="D100" s="31">
        <v>4.6862067814756259</v>
      </c>
      <c r="E100" s="31">
        <v>3.6426650895046739</v>
      </c>
      <c r="F100" s="31">
        <v>2.8127405554148202</v>
      </c>
      <c r="G100" s="31">
        <v>2.1731366798984122</v>
      </c>
      <c r="H100" s="31">
        <v>1.699256341808117</v>
      </c>
      <c r="I100" s="31">
        <v>1.365201798156912</v>
      </c>
      <c r="J100" s="31">
        <v>1.1437746841180989</v>
      </c>
      <c r="K100" s="31">
        <v>1.006476013025291</v>
      </c>
      <c r="L100" s="31">
        <v>0.92350617637241017</v>
      </c>
      <c r="M100" s="31">
        <v>0.86376494381371205</v>
      </c>
      <c r="N100" s="31">
        <v>0.79485146316375943</v>
      </c>
      <c r="O100" s="31">
        <v>0.68306426039741397</v>
      </c>
      <c r="P100" s="31">
        <v>0.49340123964989152</v>
      </c>
      <c r="Q100" s="31">
        <v>0.18955968321669661</v>
      </c>
      <c r="R100" s="32">
        <v>-0.26606374844635278</v>
      </c>
    </row>
    <row r="101" spans="1:18" x14ac:dyDescent="0.25">
      <c r="A101" s="30">
        <v>400</v>
      </c>
      <c r="B101" s="31">
        <v>7.6672371128586576</v>
      </c>
      <c r="C101" s="31">
        <v>6.0942703666997193</v>
      </c>
      <c r="D101" s="31">
        <v>4.7836575616743247</v>
      </c>
      <c r="E101" s="31">
        <v>3.7141916316548369</v>
      </c>
      <c r="F101" s="31">
        <v>2.863364888673948</v>
      </c>
      <c r="G101" s="31">
        <v>2.207369022924663</v>
      </c>
      <c r="H101" s="31">
        <v>1.721095102760301</v>
      </c>
      <c r="I101" s="31">
        <v>1.378133574694492</v>
      </c>
      <c r="J101" s="31">
        <v>1.1507742634011999</v>
      </c>
      <c r="K101" s="31">
        <v>1.0100063717146821</v>
      </c>
      <c r="L101" s="31">
        <v>0.92551848062952546</v>
      </c>
      <c r="M101" s="31">
        <v>0.86569854930063495</v>
      </c>
      <c r="N101" s="31">
        <v>0.79763391504322634</v>
      </c>
      <c r="O101" s="31">
        <v>0.6871112933328265</v>
      </c>
      <c r="P101" s="31">
        <v>0.49861677780529068</v>
      </c>
      <c r="Q101" s="31">
        <v>0.19533584025677439</v>
      </c>
      <c r="R101" s="32">
        <v>-0.26084666935622641</v>
      </c>
    </row>
    <row r="102" spans="1:18" x14ac:dyDescent="0.25">
      <c r="A102" s="30">
        <v>416</v>
      </c>
      <c r="B102" s="31">
        <v>7.8405006595869917</v>
      </c>
      <c r="C102" s="31">
        <v>6.2288872504152044</v>
      </c>
      <c r="D102" s="31">
        <v>4.885778890843441</v>
      </c>
      <c r="E102" s="31">
        <v>3.7894567042447358</v>
      </c>
      <c r="F102" s="31">
        <v>2.9169011921524279</v>
      </c>
      <c r="G102" s="31">
        <v>2.2437922342601748</v>
      </c>
      <c r="H102" s="31">
        <v>1.744509088421955</v>
      </c>
      <c r="I102" s="31">
        <v>1.3921303906520519</v>
      </c>
      <c r="J102" s="31">
        <v>1.1584341551250761</v>
      </c>
      <c r="K102" s="31">
        <v>1.0138977741759569</v>
      </c>
      <c r="L102" s="31">
        <v>0.92769801829991594</v>
      </c>
      <c r="M102" s="31">
        <v>0.86771103615253198</v>
      </c>
      <c r="N102" s="31">
        <v>0.80051235454965863</v>
      </c>
      <c r="O102" s="31">
        <v>0.69137687846747831</v>
      </c>
      <c r="P102" s="31">
        <v>0.50427889104252266</v>
      </c>
      <c r="Q102" s="31">
        <v>0.2018920535715675</v>
      </c>
      <c r="R102" s="32">
        <v>-0.25441059448821329</v>
      </c>
    </row>
    <row r="103" spans="1:18" x14ac:dyDescent="0.25">
      <c r="A103" s="30">
        <v>432</v>
      </c>
      <c r="B103" s="31">
        <v>8.0204609402119438</v>
      </c>
      <c r="C103" s="31">
        <v>6.3690786320040758</v>
      </c>
      <c r="D103" s="31">
        <v>4.992457940173022</v>
      </c>
      <c r="E103" s="31">
        <v>3.868368177592465</v>
      </c>
      <c r="F103" s="31">
        <v>2.973278035296401</v>
      </c>
      <c r="G103" s="31">
        <v>2.2823555824791431</v>
      </c>
      <c r="H103" s="31">
        <v>1.7694682664953201</v>
      </c>
      <c r="I103" s="31">
        <v>1.4071829128598761</v>
      </c>
      <c r="J103" s="31">
        <v>1.166765725248077</v>
      </c>
      <c r="K103" s="31">
        <v>1.0181822854954969</v>
      </c>
      <c r="L103" s="31">
        <v>0.93009755359802471</v>
      </c>
      <c r="M103" s="31">
        <v>0.86987586771187775</v>
      </c>
      <c r="N103" s="31">
        <v>0.80358094415357673</v>
      </c>
      <c r="O103" s="31">
        <v>0.69597587739996503</v>
      </c>
      <c r="P103" s="31">
        <v>0.51052314008820698</v>
      </c>
      <c r="Q103" s="31">
        <v>0.20938458301575119</v>
      </c>
      <c r="R103" s="32">
        <v>-0.24657856485956839</v>
      </c>
    </row>
    <row r="104" spans="1:18" x14ac:dyDescent="0.25">
      <c r="A104" s="30">
        <v>448</v>
      </c>
      <c r="B104" s="31">
        <v>8.2069533416591245</v>
      </c>
      <c r="C104" s="31">
        <v>6.5147005975200001</v>
      </c>
      <c r="D104" s="31">
        <v>5.1035714948447719</v>
      </c>
      <c r="E104" s="31">
        <v>3.950823536007781</v>
      </c>
      <c r="F104" s="31">
        <v>3.0324136015436758</v>
      </c>
      <c r="G104" s="31">
        <v>2.3229979501474221</v>
      </c>
      <c r="H104" s="31">
        <v>1.7959322186743081</v>
      </c>
      <c r="I104" s="31">
        <v>1.423271422139927</v>
      </c>
      <c r="J104" s="31">
        <v>1.1757699537202</v>
      </c>
      <c r="K104" s="31">
        <v>1.022881584751361</v>
      </c>
      <c r="L104" s="31">
        <v>0.93275946472995064</v>
      </c>
      <c r="M104" s="31">
        <v>0.87225612131283792</v>
      </c>
      <c r="N104" s="31">
        <v>0.80692346031720763</v>
      </c>
      <c r="O104" s="31">
        <v>0.70101276572054183</v>
      </c>
      <c r="P104" s="31">
        <v>0.5174746996606725</v>
      </c>
      <c r="Q104" s="31">
        <v>0.21795930243571429</v>
      </c>
      <c r="R104" s="32">
        <v>-0.237184007495884</v>
      </c>
    </row>
    <row r="105" spans="1:18" x14ac:dyDescent="0.25">
      <c r="A105" s="30">
        <v>464</v>
      </c>
      <c r="B105" s="31">
        <v>8.3998028648457908</v>
      </c>
      <c r="C105" s="31">
        <v>6.6655988470082832</v>
      </c>
      <c r="D105" s="31">
        <v>5.218985954032056</v>
      </c>
      <c r="E105" s="31">
        <v>4.036709877792096</v>
      </c>
      <c r="F105" s="31">
        <v>3.094215688323712</v>
      </c>
      <c r="G105" s="31">
        <v>2.365647833822524</v>
      </c>
      <c r="H105" s="31">
        <v>1.8238501406444749</v>
      </c>
      <c r="I105" s="31">
        <v>1.440365813305811</v>
      </c>
      <c r="J105" s="31">
        <v>1.185437434483112</v>
      </c>
      <c r="K105" s="31">
        <v>1.0280069650132599</v>
      </c>
      <c r="L105" s="31">
        <v>0.93571574389345591</v>
      </c>
      <c r="M105" s="31">
        <v>0.87490448828121803</v>
      </c>
      <c r="N105" s="31">
        <v>0.81061329349439482</v>
      </c>
      <c r="O105" s="31">
        <v>0.7065816330111192</v>
      </c>
      <c r="P105" s="31">
        <v>0.52524835846986673</v>
      </c>
      <c r="Q105" s="31">
        <v>0.22775169966942421</v>
      </c>
      <c r="R105" s="32">
        <v>-0.2260707354311258</v>
      </c>
    </row>
    <row r="106" spans="1:18" x14ac:dyDescent="0.25">
      <c r="A106" s="30">
        <v>480</v>
      </c>
      <c r="B106" s="31">
        <v>8.598824124680883</v>
      </c>
      <c r="C106" s="31">
        <v>6.8216086945059136</v>
      </c>
      <c r="D106" s="31">
        <v>5.3385573308998984</v>
      </c>
      <c r="E106" s="31">
        <v>4.1259039152384878</v>
      </c>
      <c r="F106" s="31">
        <v>3.1585817070576372</v>
      </c>
      <c r="G106" s="31">
        <v>2.4102233440536258</v>
      </c>
      <c r="H106" s="31">
        <v>1.853160842083049</v>
      </c>
      <c r="I106" s="31">
        <v>1.45842559516281</v>
      </c>
      <c r="J106" s="31">
        <v>1.195748375470135</v>
      </c>
      <c r="K106" s="31">
        <v>1.0335593333425721</v>
      </c>
      <c r="L106" s="31">
        <v>0.93898799727796922</v>
      </c>
      <c r="M106" s="31">
        <v>0.87786327393450714</v>
      </c>
      <c r="N106" s="31">
        <v>0.81471344813066937</v>
      </c>
      <c r="O106" s="31">
        <v>0.71276618284526627</v>
      </c>
      <c r="P106" s="31">
        <v>0.5339485192174217</v>
      </c>
      <c r="Q106" s="31">
        <v>0.23888687654656771</v>
      </c>
      <c r="R106" s="32">
        <v>-0.21309294770753689</v>
      </c>
    </row>
    <row r="107" spans="1:18" x14ac:dyDescent="0.25">
      <c r="A107" s="30">
        <v>496</v>
      </c>
      <c r="B107" s="31">
        <v>8.8038213500649753</v>
      </c>
      <c r="C107" s="31">
        <v>6.982555068041516</v>
      </c>
      <c r="D107" s="31">
        <v>5.462131252604987</v>
      </c>
      <c r="E107" s="31">
        <v>4.2182719746316906</v>
      </c>
      <c r="F107" s="31">
        <v>3.2253986831582369</v>
      </c>
      <c r="G107" s="31">
        <v>2.4566322053815641</v>
      </c>
      <c r="H107" s="31">
        <v>1.8837927466589151</v>
      </c>
      <c r="I107" s="31">
        <v>1.4773998905078509</v>
      </c>
      <c r="J107" s="31">
        <v>1.2066725986062541</v>
      </c>
      <c r="K107" s="31">
        <v>1.0395292107923251</v>
      </c>
      <c r="L107" s="31">
        <v>0.94258744506456849</v>
      </c>
      <c r="M107" s="31">
        <v>0.88116439758182252</v>
      </c>
      <c r="N107" s="31">
        <v>0.81927654266321626</v>
      </c>
      <c r="O107" s="31">
        <v>0.7196397327882168</v>
      </c>
      <c r="P107" s="31">
        <v>0.54366919859661256</v>
      </c>
      <c r="Q107" s="31">
        <v>0.25147954888848112</v>
      </c>
      <c r="R107" s="32">
        <v>-0.1981152293757624</v>
      </c>
    </row>
    <row r="108" spans="1:18" x14ac:dyDescent="0.25">
      <c r="A108" s="30">
        <v>512</v>
      </c>
      <c r="B108" s="31">
        <v>9.0145883838903202</v>
      </c>
      <c r="C108" s="31">
        <v>7.1482525096353928</v>
      </c>
      <c r="D108" s="31">
        <v>5.5895429602956721</v>
      </c>
      <c r="E108" s="31">
        <v>4.3136699962481053</v>
      </c>
      <c r="F108" s="31">
        <v>3.2945432560299621</v>
      </c>
      <c r="G108" s="31">
        <v>2.5047717563388332</v>
      </c>
      <c r="H108" s="31">
        <v>1.915663892032619</v>
      </c>
      <c r="I108" s="31">
        <v>1.497227436129535</v>
      </c>
      <c r="J108" s="31">
        <v>1.2181695398081189</v>
      </c>
      <c r="K108" s="31">
        <v>1.045896732407225</v>
      </c>
      <c r="L108" s="31">
        <v>0.94651492142600668</v>
      </c>
      <c r="M108" s="31">
        <v>0.88482939252396398</v>
      </c>
      <c r="N108" s="31">
        <v>0.82434480952087896</v>
      </c>
      <c r="O108" s="31">
        <v>0.72726521439687974</v>
      </c>
      <c r="P108" s="31">
        <v>0.5544940272923925</v>
      </c>
      <c r="Q108" s="31">
        <v>0.26563404650815592</v>
      </c>
      <c r="R108" s="32">
        <v>-0.18101255149474579</v>
      </c>
    </row>
    <row r="109" spans="1:18" x14ac:dyDescent="0.25">
      <c r="A109" s="30">
        <v>528</v>
      </c>
      <c r="B109" s="31">
        <v>9.230908683040834</v>
      </c>
      <c r="C109" s="31">
        <v>7.3185051752995118</v>
      </c>
      <c r="D109" s="31">
        <v>5.7206173091119563</v>
      </c>
      <c r="E109" s="31">
        <v>4.411943534355788</v>
      </c>
      <c r="F109" s="31">
        <v>3.3658816790689179</v>
      </c>
      <c r="G109" s="31">
        <v>2.5545289494495922</v>
      </c>
      <c r="H109" s="31">
        <v>1.948681929856372</v>
      </c>
      <c r="I109" s="31">
        <v>1.5178365828081199</v>
      </c>
      <c r="J109" s="31">
        <v>1.230188248984033</v>
      </c>
      <c r="K109" s="31">
        <v>1.0526316472236179</v>
      </c>
      <c r="L109" s="31">
        <v>0.95076087452669145</v>
      </c>
      <c r="M109" s="31">
        <v>0.88886940605338483</v>
      </c>
      <c r="N109" s="31">
        <v>0.82995009512416673</v>
      </c>
      <c r="O109" s="31">
        <v>0.73569517321979039</v>
      </c>
      <c r="P109" s="31">
        <v>0.56649624998136261</v>
      </c>
      <c r="Q109" s="31">
        <v>0.28144431321026342</v>
      </c>
      <c r="R109" s="32">
        <v>-0.16167027113177929</v>
      </c>
    </row>
    <row r="110" spans="1:18" x14ac:dyDescent="0.25">
      <c r="A110" s="30">
        <v>544</v>
      </c>
      <c r="B110" s="31">
        <v>9.4525553183920756</v>
      </c>
      <c r="C110" s="31">
        <v>7.4931068350374739</v>
      </c>
      <c r="D110" s="31">
        <v>5.8551687681855134</v>
      </c>
      <c r="E110" s="31">
        <v>4.5129277572144533</v>
      </c>
      <c r="F110" s="31">
        <v>3.4392698196628682</v>
      </c>
      <c r="G110" s="31">
        <v>2.6057803512296549</v>
      </c>
      <c r="H110" s="31">
        <v>1.982744125774031</v>
      </c>
      <c r="I110" s="31">
        <v>1.5391452953155169</v>
      </c>
      <c r="J110" s="31">
        <v>1.2426673900339591</v>
      </c>
      <c r="K110" s="31">
        <v>1.0596933182695201</v>
      </c>
      <c r="L110" s="31">
        <v>0.95530536652266962</v>
      </c>
      <c r="M110" s="31">
        <v>0.89328519945420182</v>
      </c>
      <c r="N110" s="31">
        <v>0.83611385988522713</v>
      </c>
      <c r="O110" s="31">
        <v>0.7449717687971591</v>
      </c>
      <c r="P110" s="31">
        <v>0.57973872533176507</v>
      </c>
      <c r="Q110" s="31">
        <v>0.29899390679107712</v>
      </c>
      <c r="R110" s="32">
        <v>-0.1399841313625316</v>
      </c>
    </row>
    <row r="111" spans="1:18" x14ac:dyDescent="0.25">
      <c r="A111" s="30">
        <v>560</v>
      </c>
      <c r="B111" s="31">
        <v>9.6792909748112805</v>
      </c>
      <c r="C111" s="31">
        <v>7.6718408728445784</v>
      </c>
      <c r="D111" s="31">
        <v>5.9930014206396756</v>
      </c>
      <c r="E111" s="31">
        <v>4.6164474470754877</v>
      </c>
      <c r="F111" s="31">
        <v>3.5145531591912489</v>
      </c>
      <c r="G111" s="31">
        <v>2.6583921421865102</v>
      </c>
      <c r="H111" s="31">
        <v>2.0177373594211372</v>
      </c>
      <c r="I111" s="31">
        <v>1.561061152415312</v>
      </c>
      <c r="J111" s="31">
        <v>1.2555352408495339</v>
      </c>
      <c r="K111" s="31">
        <v>1.0670307225646161</v>
      </c>
      <c r="L111" s="31">
        <v>0.96011807356168855</v>
      </c>
      <c r="M111" s="31">
        <v>0.89806714800219867</v>
      </c>
      <c r="N111" s="31">
        <v>0.84284717820791155</v>
      </c>
      <c r="O111" s="31">
        <v>0.7551267746608995</v>
      </c>
      <c r="P111" s="31">
        <v>0.59427392600356643</v>
      </c>
      <c r="Q111" s="31">
        <v>0.31835599903861039</v>
      </c>
      <c r="R111" s="32">
        <v>-0.1158602612709316</v>
      </c>
    </row>
    <row r="112" spans="1:18" x14ac:dyDescent="0.25">
      <c r="A112" s="30">
        <v>576</v>
      </c>
      <c r="B112" s="31">
        <v>9.9108679511573392</v>
      </c>
      <c r="C112" s="31">
        <v>7.8544802867077523</v>
      </c>
      <c r="D112" s="31">
        <v>6.1339089635894242</v>
      </c>
      <c r="E112" s="31">
        <v>4.7223170001819224</v>
      </c>
      <c r="F112" s="31">
        <v>3.5915667930251431</v>
      </c>
      <c r="G112" s="31">
        <v>2.7122201168192852</v>
      </c>
      <c r="H112" s="31">
        <v>2.0535381244248732</v>
      </c>
      <c r="I112" s="31">
        <v>1.5834813468627389</v>
      </c>
      <c r="J112" s="31">
        <v>1.2687096933140389</v>
      </c>
      <c r="K112" s="31">
        <v>1.0745824511202411</v>
      </c>
      <c r="L112" s="31">
        <v>0.96515828578312624</v>
      </c>
      <c r="M112" s="31">
        <v>0.90319524096480275</v>
      </c>
      <c r="N112" s="31">
        <v>0.85015073848768619</v>
      </c>
      <c r="O112" s="31">
        <v>0.7661815783345054</v>
      </c>
      <c r="P112" s="31">
        <v>0.61014393864832095</v>
      </c>
      <c r="Q112" s="31">
        <v>0.33959337573247872</v>
      </c>
      <c r="R112" s="32">
        <v>-8.9215175949313164E-2</v>
      </c>
    </row>
    <row r="113" spans="1:18" x14ac:dyDescent="0.25">
      <c r="A113" s="30">
        <v>592</v>
      </c>
      <c r="B113" s="31">
        <v>10.14702816028081</v>
      </c>
      <c r="C113" s="31">
        <v>8.0407876886056027</v>
      </c>
      <c r="D113" s="31">
        <v>6.2776747081414168</v>
      </c>
      <c r="E113" s="31">
        <v>4.8303404267684726</v>
      </c>
      <c r="F113" s="31">
        <v>3.6701354305273108</v>
      </c>
      <c r="G113" s="31">
        <v>2.7671096836187932</v>
      </c>
      <c r="H113" s="31">
        <v>2.0900125284040931</v>
      </c>
      <c r="I113" s="31">
        <v>1.6062926854046999</v>
      </c>
      <c r="J113" s="31">
        <v>1.2820982533024261</v>
      </c>
      <c r="K113" s="31">
        <v>1.082276708939393</v>
      </c>
      <c r="L113" s="31">
        <v>0.97037490731804321</v>
      </c>
      <c r="M113" s="31">
        <v>0.90863908160112405</v>
      </c>
      <c r="N113" s="31">
        <v>0.85801484311171117</v>
      </c>
      <c r="O113" s="31">
        <v>0.77814718133320548</v>
      </c>
      <c r="P113" s="31">
        <v>0.62738046390929381</v>
      </c>
      <c r="Q113" s="31">
        <v>0.36275843664399871</v>
      </c>
      <c r="R113" s="32">
        <v>-5.997577649833731E-2</v>
      </c>
    </row>
    <row r="114" spans="1:18" x14ac:dyDescent="0.25">
      <c r="A114" s="30">
        <v>608</v>
      </c>
      <c r="B114" s="31">
        <v>10.387503129023891</v>
      </c>
      <c r="C114" s="31">
        <v>8.2305153045083923</v>
      </c>
      <c r="D114" s="31">
        <v>6.4240715793939627</v>
      </c>
      <c r="E114" s="31">
        <v>4.9403113510614842</v>
      </c>
      <c r="F114" s="31">
        <v>3.750073395052151</v>
      </c>
      <c r="G114" s="31">
        <v>2.8228958650674789</v>
      </c>
      <c r="H114" s="31">
        <v>2.1270162929692962</v>
      </c>
      <c r="I114" s="31">
        <v>1.6293715887797471</v>
      </c>
      <c r="J114" s="31">
        <v>1.295598040681299</v>
      </c>
      <c r="K114" s="31">
        <v>1.090031315016728</v>
      </c>
      <c r="L114" s="31">
        <v>0.97570645628913055</v>
      </c>
      <c r="M114" s="31">
        <v>0.91435788716190458</v>
      </c>
      <c r="N114" s="31">
        <v>0.86641940845879295</v>
      </c>
      <c r="O114" s="31">
        <v>0.79102419916382549</v>
      </c>
      <c r="P114" s="31">
        <v>0.64600481642137841</v>
      </c>
      <c r="Q114" s="31">
        <v>0.38789319553610302</v>
      </c>
      <c r="R114" s="32">
        <v>-2.8079350026995811E-2</v>
      </c>
    </row>
    <row r="115" spans="1:18" x14ac:dyDescent="0.25">
      <c r="A115" s="30">
        <v>624</v>
      </c>
      <c r="B115" s="31">
        <v>10.63201399822046</v>
      </c>
      <c r="C115" s="31">
        <v>8.4234049743780446</v>
      </c>
      <c r="D115" s="31">
        <v>6.5728621164370402</v>
      </c>
      <c r="E115" s="31">
        <v>5.0520130112789907</v>
      </c>
      <c r="F115" s="31">
        <v>3.8311846239457461</v>
      </c>
      <c r="G115" s="31">
        <v>2.8794032976394761</v>
      </c>
      <c r="H115" s="31">
        <v>2.164394753722668</v>
      </c>
      <c r="I115" s="31">
        <v>1.652584091718116</v>
      </c>
      <c r="J115" s="31">
        <v>1.3090957893089401</v>
      </c>
      <c r="K115" s="31">
        <v>1.0977537023385739</v>
      </c>
      <c r="L115" s="31">
        <v>0.98108106481076296</v>
      </c>
      <c r="M115" s="31">
        <v>0.92030048888957938</v>
      </c>
      <c r="N115" s="31">
        <v>0.87533396489939541</v>
      </c>
      <c r="O115" s="31">
        <v>0.80480286132490531</v>
      </c>
      <c r="P115" s="31">
        <v>0.66602792481114659</v>
      </c>
      <c r="Q115" s="31">
        <v>0.41502928016342178</v>
      </c>
      <c r="R115" s="32">
        <v>6.5264303473959711E-3</v>
      </c>
    </row>
    <row r="116" spans="1:18" x14ac:dyDescent="0.25">
      <c r="A116" s="33">
        <v>640</v>
      </c>
      <c r="B116" s="34">
        <v>10.88027152269607</v>
      </c>
      <c r="C116" s="34">
        <v>8.6191881521681442</v>
      </c>
      <c r="D116" s="34">
        <v>6.7237984723522803</v>
      </c>
      <c r="E116" s="34">
        <v>5.1652182596306746</v>
      </c>
      <c r="F116" s="34">
        <v>3.913262668545828</v>
      </c>
      <c r="G116" s="34">
        <v>2.93644623180057</v>
      </c>
      <c r="H116" s="34">
        <v>2.201982860258036</v>
      </c>
      <c r="I116" s="34">
        <v>1.675785842941679</v>
      </c>
      <c r="J116" s="34">
        <v>1.322467847035274</v>
      </c>
      <c r="K116" s="34">
        <v>1.105340917882907</v>
      </c>
      <c r="L116" s="34">
        <v>0.98641647898899321</v>
      </c>
      <c r="M116" s="34">
        <v>0.92640533201822395</v>
      </c>
      <c r="N116" s="34">
        <v>0.88471765679566339</v>
      </c>
      <c r="O116" s="34">
        <v>0.819463011306649</v>
      </c>
      <c r="P116" s="34">
        <v>0.68745033169685144</v>
      </c>
      <c r="Q116" s="34">
        <v>0.44418793227225523</v>
      </c>
      <c r="R116" s="35">
        <v>4.3883505499163533E-2</v>
      </c>
    </row>
    <row r="119" spans="1:18" ht="28.9" customHeight="1" x14ac:dyDescent="0.5">
      <c r="A119" s="1" t="s">
        <v>32</v>
      </c>
    </row>
    <row r="120" spans="1:18" ht="32.1" customHeight="1" x14ac:dyDescent="0.25"/>
    <row r="121" spans="1:18" x14ac:dyDescent="0.25">
      <c r="A121" s="2"/>
      <c r="B121" s="3"/>
      <c r="C121" s="3"/>
      <c r="D121" s="4"/>
    </row>
    <row r="122" spans="1:18" x14ac:dyDescent="0.25">
      <c r="A122" s="5" t="s">
        <v>33</v>
      </c>
      <c r="B122" s="6">
        <v>1.875</v>
      </c>
      <c r="C122" s="6" t="s">
        <v>13</v>
      </c>
      <c r="D122" s="7"/>
    </row>
    <row r="123" spans="1:18" x14ac:dyDescent="0.25">
      <c r="A123" s="8"/>
      <c r="B123" s="9"/>
      <c r="C123" s="9"/>
      <c r="D123" s="10"/>
    </row>
    <row r="126" spans="1:18" ht="48" customHeight="1" x14ac:dyDescent="0.25">
      <c r="A126" s="21" t="s">
        <v>34</v>
      </c>
      <c r="B126" s="23" t="s">
        <v>35</v>
      </c>
    </row>
    <row r="127" spans="1:18" x14ac:dyDescent="0.25">
      <c r="A127" s="5">
        <v>0</v>
      </c>
      <c r="B127" s="32">
        <v>0.31000000000000011</v>
      </c>
    </row>
    <row r="128" spans="1:18" x14ac:dyDescent="0.25">
      <c r="A128" s="5">
        <v>0.125</v>
      </c>
      <c r="B128" s="32">
        <v>0.33796666666666669</v>
      </c>
    </row>
    <row r="129" spans="1:2" x14ac:dyDescent="0.25">
      <c r="A129" s="5">
        <v>0.25</v>
      </c>
      <c r="B129" s="32">
        <v>0.26827777777777778</v>
      </c>
    </row>
    <row r="130" spans="1:2" x14ac:dyDescent="0.25">
      <c r="A130" s="5">
        <v>0.375</v>
      </c>
      <c r="B130" s="32">
        <v>0.17423250000000001</v>
      </c>
    </row>
    <row r="131" spans="1:2" x14ac:dyDescent="0.25">
      <c r="A131" s="5">
        <v>0.5</v>
      </c>
      <c r="B131" s="32">
        <v>7.6555555555555488E-2</v>
      </c>
    </row>
    <row r="132" spans="1:2" x14ac:dyDescent="0.25">
      <c r="A132" s="5">
        <v>0.625</v>
      </c>
      <c r="B132" s="32">
        <v>0.10305555555555571</v>
      </c>
    </row>
    <row r="133" spans="1:2" x14ac:dyDescent="0.25">
      <c r="A133" s="5">
        <v>0.75</v>
      </c>
      <c r="B133" s="32">
        <v>7.2250000000000147E-2</v>
      </c>
    </row>
    <row r="134" spans="1:2" x14ac:dyDescent="0.25">
      <c r="A134" s="5">
        <v>0.875</v>
      </c>
      <c r="B134" s="32">
        <v>6.0958333333333337E-2</v>
      </c>
    </row>
    <row r="135" spans="1:2" x14ac:dyDescent="0.25">
      <c r="A135" s="5">
        <v>1</v>
      </c>
      <c r="B135" s="32">
        <v>5.4666666666666641E-2</v>
      </c>
    </row>
    <row r="136" spans="1:2" x14ac:dyDescent="0.25">
      <c r="A136" s="5">
        <v>1.125</v>
      </c>
      <c r="B136" s="32">
        <v>2.6432432432432429E-2</v>
      </c>
    </row>
    <row r="137" spans="1:2" x14ac:dyDescent="0.25">
      <c r="A137" s="5">
        <v>1.25</v>
      </c>
      <c r="B137" s="32">
        <v>2.5405405405405149E-2</v>
      </c>
    </row>
    <row r="138" spans="1:2" x14ac:dyDescent="0.25">
      <c r="A138" s="5">
        <v>1.375</v>
      </c>
      <c r="B138" s="32">
        <v>2.0891472868217138E-2</v>
      </c>
    </row>
    <row r="139" spans="1:2" x14ac:dyDescent="0.25">
      <c r="A139" s="5">
        <v>1.5</v>
      </c>
      <c r="B139" s="32">
        <v>1.441860465116274E-2</v>
      </c>
    </row>
    <row r="140" spans="1:2" x14ac:dyDescent="0.25">
      <c r="A140" s="5">
        <v>1.625</v>
      </c>
      <c r="B140" s="32">
        <v>8.4460547504022782E-3</v>
      </c>
    </row>
    <row r="141" spans="1:2" x14ac:dyDescent="0.25">
      <c r="A141" s="5">
        <v>1.75</v>
      </c>
      <c r="B141" s="32">
        <v>6.5539452495972927E-3</v>
      </c>
    </row>
    <row r="142" spans="1:2" x14ac:dyDescent="0.25">
      <c r="A142" s="5">
        <v>1.875</v>
      </c>
      <c r="B142" s="32">
        <v>0</v>
      </c>
    </row>
    <row r="143" spans="1:2" x14ac:dyDescent="0.25">
      <c r="A143" s="5">
        <v>2</v>
      </c>
      <c r="B143" s="32">
        <v>0</v>
      </c>
    </row>
    <row r="144" spans="1:2" x14ac:dyDescent="0.25">
      <c r="A144" s="5">
        <v>2.125</v>
      </c>
      <c r="B144" s="32">
        <v>0</v>
      </c>
    </row>
    <row r="145" spans="1:2" x14ac:dyDescent="0.25">
      <c r="A145" s="5">
        <v>2.25</v>
      </c>
      <c r="B145" s="32">
        <v>0</v>
      </c>
    </row>
    <row r="146" spans="1:2" x14ac:dyDescent="0.25">
      <c r="A146" s="5">
        <v>2.375</v>
      </c>
      <c r="B146" s="32">
        <v>0</v>
      </c>
    </row>
    <row r="147" spans="1:2" x14ac:dyDescent="0.25">
      <c r="A147" s="5">
        <v>2.5</v>
      </c>
      <c r="B147" s="32">
        <v>0</v>
      </c>
    </row>
    <row r="148" spans="1:2" x14ac:dyDescent="0.25">
      <c r="A148" s="5">
        <v>2.625</v>
      </c>
      <c r="B148" s="32">
        <v>0</v>
      </c>
    </row>
    <row r="149" spans="1:2" x14ac:dyDescent="0.25">
      <c r="A149" s="5">
        <v>2.75</v>
      </c>
      <c r="B149" s="32">
        <v>0</v>
      </c>
    </row>
    <row r="150" spans="1:2" x14ac:dyDescent="0.25">
      <c r="A150" s="5">
        <v>2.875</v>
      </c>
      <c r="B150" s="32">
        <v>0</v>
      </c>
    </row>
    <row r="151" spans="1:2" x14ac:dyDescent="0.25">
      <c r="A151" s="5">
        <v>3</v>
      </c>
      <c r="B151" s="32">
        <v>0</v>
      </c>
    </row>
    <row r="152" spans="1:2" x14ac:dyDescent="0.25">
      <c r="A152" s="5">
        <v>3.125</v>
      </c>
      <c r="B152" s="32">
        <v>0</v>
      </c>
    </row>
    <row r="153" spans="1:2" x14ac:dyDescent="0.25">
      <c r="A153" s="5">
        <v>3.25</v>
      </c>
      <c r="B153" s="32">
        <v>0</v>
      </c>
    </row>
    <row r="154" spans="1:2" x14ac:dyDescent="0.25">
      <c r="A154" s="5">
        <v>3.375</v>
      </c>
      <c r="B154" s="32">
        <v>0</v>
      </c>
    </row>
    <row r="155" spans="1:2" x14ac:dyDescent="0.25">
      <c r="A155" s="5">
        <v>3.5</v>
      </c>
      <c r="B155" s="32">
        <v>0</v>
      </c>
    </row>
    <row r="156" spans="1:2" x14ac:dyDescent="0.25">
      <c r="A156" s="5">
        <v>3.625</v>
      </c>
      <c r="B156" s="32">
        <v>0</v>
      </c>
    </row>
    <row r="157" spans="1:2" x14ac:dyDescent="0.25">
      <c r="A157" s="5">
        <v>3.75</v>
      </c>
      <c r="B157" s="32">
        <v>0</v>
      </c>
    </row>
    <row r="158" spans="1:2" x14ac:dyDescent="0.25">
      <c r="A158" s="5">
        <v>3.875</v>
      </c>
      <c r="B158" s="32">
        <v>0</v>
      </c>
    </row>
    <row r="159" spans="1:2" x14ac:dyDescent="0.25">
      <c r="A159" s="8">
        <v>4</v>
      </c>
      <c r="B159" s="35">
        <v>0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R159"/>
  <sheetViews>
    <sheetView workbookViewId="0">
      <selection activeCell="F8" sqref="F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0.42999999999999988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41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128</v>
      </c>
      <c r="B42" s="6">
        <v>38.648808993527837</v>
      </c>
      <c r="C42" s="6">
        <f>38.6488089935278 * $B$37 / 100</f>
        <v>38.648808993527801</v>
      </c>
      <c r="D42" s="6">
        <v>4.8696640469423</v>
      </c>
      <c r="E42" s="7">
        <f>4.8696640469423 * $B$37 / 100</f>
        <v>4.8696640469423</v>
      </c>
    </row>
    <row r="43" spans="1:5" x14ac:dyDescent="0.25">
      <c r="A43" s="5">
        <v>148</v>
      </c>
      <c r="B43" s="6">
        <v>41.5587032682661</v>
      </c>
      <c r="C43" s="6">
        <f>41.5587032682661 * $B$37 / 100</f>
        <v>41.5587032682661</v>
      </c>
      <c r="D43" s="6">
        <v>5.236304259127599</v>
      </c>
      <c r="E43" s="7">
        <f>5.23630425912759 * $B$37 / 100</f>
        <v>5.2363042591275901</v>
      </c>
    </row>
    <row r="44" spans="1:5" x14ac:dyDescent="0.25">
      <c r="A44" s="5">
        <v>168</v>
      </c>
      <c r="B44" s="6">
        <v>44.277773183182838</v>
      </c>
      <c r="C44" s="6">
        <f>44.2777731831828 * $B$37 / 100</f>
        <v>44.277773183182802</v>
      </c>
      <c r="D44" s="6">
        <v>5.5789010260295191</v>
      </c>
      <c r="E44" s="7">
        <f>5.57890102602951 * $B$37 / 100</f>
        <v>5.5789010260295102</v>
      </c>
    </row>
    <row r="45" spans="1:5" x14ac:dyDescent="0.25">
      <c r="A45" s="5">
        <v>188</v>
      </c>
      <c r="B45" s="6">
        <v>46.839263217763992</v>
      </c>
      <c r="C45" s="6">
        <f>46.8392632177639 * $B$37 / 100</f>
        <v>46.8392632177639</v>
      </c>
      <c r="D45" s="6">
        <v>5.9016430781866678</v>
      </c>
      <c r="E45" s="7">
        <f>5.90164307818666 * $B$37 / 100</f>
        <v>5.9016430781866598</v>
      </c>
    </row>
    <row r="46" spans="1:5" x14ac:dyDescent="0.25">
      <c r="A46" s="5">
        <v>208</v>
      </c>
      <c r="B46" s="6">
        <v>49.267757808779692</v>
      </c>
      <c r="C46" s="6">
        <f>49.2677578087796 * $B$37 / 100</f>
        <v>49.267757808779599</v>
      </c>
      <c r="D46" s="6">
        <v>6.2076279999999988</v>
      </c>
      <c r="E46" s="7">
        <f>6.20762799999999 * $B$37 / 100</f>
        <v>6.207627999999989</v>
      </c>
    </row>
    <row r="47" spans="1:5" x14ac:dyDescent="0.25">
      <c r="A47" s="5">
        <v>228</v>
      </c>
      <c r="B47" s="6">
        <v>51.395996402052937</v>
      </c>
      <c r="C47" s="6">
        <f>51.3959964020529 * $B$37 / 100</f>
        <v>51.395996402052894</v>
      </c>
      <c r="D47" s="6">
        <v>6.4757813333333329</v>
      </c>
      <c r="E47" s="7">
        <f>6.47578133333333 * $B$37 / 100</f>
        <v>6.4757813333333294</v>
      </c>
    </row>
    <row r="48" spans="1:5" x14ac:dyDescent="0.25">
      <c r="A48" s="5">
        <v>248</v>
      </c>
      <c r="B48" s="6">
        <v>53.524234995326204</v>
      </c>
      <c r="C48" s="6">
        <f>53.5242349953261 * $B$37 / 100</f>
        <v>53.524234995326097</v>
      </c>
      <c r="D48" s="6">
        <v>6.7439346666666662</v>
      </c>
      <c r="E48" s="7">
        <f>6.74393466666666 * $B$37 / 100</f>
        <v>6.74393466666666</v>
      </c>
    </row>
    <row r="49" spans="1:5" x14ac:dyDescent="0.25">
      <c r="A49" s="5">
        <v>268</v>
      </c>
      <c r="B49" s="6">
        <v>55.652473588599449</v>
      </c>
      <c r="C49" s="6">
        <f>55.6524735885994 * $B$37 / 100</f>
        <v>55.652473588599399</v>
      </c>
      <c r="D49" s="6">
        <v>7.0120880000000003</v>
      </c>
      <c r="E49" s="7">
        <f>7.012088 * $B$37 / 100</f>
        <v>7.0120880000000003</v>
      </c>
    </row>
    <row r="50" spans="1:5" x14ac:dyDescent="0.25">
      <c r="A50" s="5">
        <v>288</v>
      </c>
      <c r="B50" s="6">
        <v>57.780712181872701</v>
      </c>
      <c r="C50" s="6">
        <f>57.7807121818727 * $B$37 / 100</f>
        <v>57.780712181872701</v>
      </c>
      <c r="D50" s="6">
        <v>7.2802413333333336</v>
      </c>
      <c r="E50" s="7">
        <f>7.28024133333333 * $B$37 / 100</f>
        <v>7.28024133333333</v>
      </c>
    </row>
    <row r="51" spans="1:5" x14ac:dyDescent="0.25">
      <c r="A51" s="5">
        <v>308</v>
      </c>
      <c r="B51" s="6">
        <v>59.788440713240099</v>
      </c>
      <c r="C51" s="6">
        <f>59.7884407132401 * $B$37 / 100</f>
        <v>59.788440713240099</v>
      </c>
      <c r="D51" s="6">
        <v>7.5332106666666672</v>
      </c>
      <c r="E51" s="7">
        <f>7.53321066666666 * $B$37 / 100</f>
        <v>7.5332106666666592</v>
      </c>
    </row>
    <row r="52" spans="1:5" x14ac:dyDescent="0.25">
      <c r="A52" s="5">
        <v>328</v>
      </c>
      <c r="B52" s="6">
        <v>61.615404151748713</v>
      </c>
      <c r="C52" s="6">
        <f>61.6154041517487 * $B$37 / 100</f>
        <v>61.615404151748699</v>
      </c>
      <c r="D52" s="6">
        <v>7.7634040000000004</v>
      </c>
      <c r="E52" s="7">
        <f>7.763404 * $B$37 / 100</f>
        <v>7.7634040000000004</v>
      </c>
    </row>
    <row r="53" spans="1:5" x14ac:dyDescent="0.25">
      <c r="A53" s="5">
        <v>348</v>
      </c>
      <c r="B53" s="6">
        <v>63.442367590257327</v>
      </c>
      <c r="C53" s="6">
        <f>63.4423675902573 * $B$37 / 100</f>
        <v>63.442367590257298</v>
      </c>
      <c r="D53" s="6">
        <v>7.9935973333333337</v>
      </c>
      <c r="E53" s="7">
        <f>7.99359733333333 * $B$37 / 100</f>
        <v>7.9935973333333301</v>
      </c>
    </row>
    <row r="54" spans="1:5" x14ac:dyDescent="0.25">
      <c r="A54" s="5">
        <v>368</v>
      </c>
      <c r="B54" s="6">
        <v>65.269331028765947</v>
      </c>
      <c r="C54" s="6">
        <f>65.2693310287659 * $B$37 / 100</f>
        <v>65.269331028765905</v>
      </c>
      <c r="D54" s="6">
        <v>8.2237906666666678</v>
      </c>
      <c r="E54" s="7">
        <f>8.22379066666666 * $B$37 / 100</f>
        <v>8.2237906666666607</v>
      </c>
    </row>
    <row r="55" spans="1:5" x14ac:dyDescent="0.25">
      <c r="A55" s="5">
        <v>388</v>
      </c>
      <c r="B55" s="6">
        <v>67.096294467274561</v>
      </c>
      <c r="C55" s="6">
        <f>67.0962944672745 * $B$37 / 100</f>
        <v>67.096294467274504</v>
      </c>
      <c r="D55" s="6">
        <v>8.4539840000000002</v>
      </c>
      <c r="E55" s="7">
        <f>8.453984 * $B$37 / 100</f>
        <v>8.4539840000000002</v>
      </c>
    </row>
    <row r="56" spans="1:5" x14ac:dyDescent="0.25">
      <c r="A56" s="5">
        <v>408</v>
      </c>
      <c r="B56" s="6">
        <v>68.836737861337951</v>
      </c>
      <c r="C56" s="6">
        <f>68.8367378613379 * $B$37 / 100</f>
        <v>68.836737861337895</v>
      </c>
      <c r="D56" s="6">
        <v>8.6732760000000013</v>
      </c>
      <c r="E56" s="7">
        <f>8.673276 * $B$37 / 100</f>
        <v>8.6732759999999995</v>
      </c>
    </row>
    <row r="57" spans="1:5" x14ac:dyDescent="0.25">
      <c r="A57" s="5">
        <v>428</v>
      </c>
      <c r="B57" s="6">
        <v>70.447401188733494</v>
      </c>
      <c r="C57" s="6">
        <f>70.4474011887335 * $B$37 / 100</f>
        <v>70.447401188733494</v>
      </c>
      <c r="D57" s="6">
        <v>8.8762160000000012</v>
      </c>
      <c r="E57" s="7">
        <f>8.876216 * $B$37 / 100</f>
        <v>8.8762159999999994</v>
      </c>
    </row>
    <row r="58" spans="1:5" x14ac:dyDescent="0.25">
      <c r="A58" s="5">
        <v>448</v>
      </c>
      <c r="B58" s="6">
        <v>72.058064516129036</v>
      </c>
      <c r="C58" s="6">
        <f>72.058064516129 * $B$37 / 100</f>
        <v>72.058064516128994</v>
      </c>
      <c r="D58" s="6">
        <v>9.0791560000000011</v>
      </c>
      <c r="E58" s="7">
        <f>9.079156 * $B$37 / 100</f>
        <v>9.0791559999999993</v>
      </c>
    </row>
    <row r="59" spans="1:5" x14ac:dyDescent="0.25">
      <c r="A59" s="5">
        <v>468</v>
      </c>
      <c r="B59" s="6">
        <v>73.668727843524579</v>
      </c>
      <c r="C59" s="6">
        <f>73.6687278435245 * $B$37 / 100</f>
        <v>73.668727843524493</v>
      </c>
      <c r="D59" s="6">
        <v>9.2820959999999992</v>
      </c>
      <c r="E59" s="7">
        <f>9.282096 * $B$37 / 100</f>
        <v>9.2820959999999992</v>
      </c>
    </row>
    <row r="60" spans="1:5" x14ac:dyDescent="0.25">
      <c r="A60" s="5">
        <v>488</v>
      </c>
      <c r="B60" s="6">
        <v>75.279391170920135</v>
      </c>
      <c r="C60" s="6">
        <f>75.2793911709201 * $B$37 / 100</f>
        <v>75.279391170920107</v>
      </c>
      <c r="D60" s="6">
        <v>9.4850360000000027</v>
      </c>
      <c r="E60" s="7">
        <f>9.485036 * $B$37 / 100</f>
        <v>9.4850359999999991</v>
      </c>
    </row>
    <row r="61" spans="1:5" x14ac:dyDescent="0.25">
      <c r="A61" s="5">
        <v>508</v>
      </c>
      <c r="B61" s="6">
        <v>76.817439461013436</v>
      </c>
      <c r="C61" s="6">
        <f>76.8174394610134 * $B$37 / 100</f>
        <v>76.817439461013393</v>
      </c>
      <c r="D61" s="6">
        <v>9.6788266666666676</v>
      </c>
      <c r="E61" s="7">
        <f>9.67882666666666 * $B$37 / 100</f>
        <v>9.6788266666666605</v>
      </c>
    </row>
    <row r="62" spans="1:5" x14ac:dyDescent="0.25">
      <c r="A62" s="5">
        <v>528</v>
      </c>
      <c r="B62" s="6">
        <v>78.246565195153366</v>
      </c>
      <c r="C62" s="6">
        <f>78.2465651951533 * $B$37 / 100</f>
        <v>78.246565195153295</v>
      </c>
      <c r="D62" s="6">
        <v>9.8588933333333344</v>
      </c>
      <c r="E62" s="7">
        <f>9.85889333333333 * $B$37 / 100</f>
        <v>9.8588933333333308</v>
      </c>
    </row>
    <row r="63" spans="1:5" x14ac:dyDescent="0.25">
      <c r="A63" s="5">
        <v>548</v>
      </c>
      <c r="B63" s="6">
        <v>79.675690929293296</v>
      </c>
      <c r="C63" s="6">
        <f>79.6756909292933 * $B$37 / 100</f>
        <v>79.675690929293296</v>
      </c>
      <c r="D63" s="6">
        <v>10.038959999999999</v>
      </c>
      <c r="E63" s="7">
        <f>10.03896 * $B$37 / 100</f>
        <v>10.038959999999999</v>
      </c>
    </row>
    <row r="64" spans="1:5" x14ac:dyDescent="0.25">
      <c r="A64" s="5">
        <v>568</v>
      </c>
      <c r="B64" s="6">
        <v>81.104816663433226</v>
      </c>
      <c r="C64" s="6">
        <f>81.1048166634332 * $B$37 / 100</f>
        <v>81.104816663433198</v>
      </c>
      <c r="D64" s="6">
        <v>10.21902666666667</v>
      </c>
      <c r="E64" s="7">
        <f>10.2190266666666 * $B$37 / 100</f>
        <v>10.219026666666601</v>
      </c>
    </row>
    <row r="65" spans="1:18" x14ac:dyDescent="0.25">
      <c r="A65" s="5">
        <v>588</v>
      </c>
      <c r="B65" s="6">
        <v>82.533942397573156</v>
      </c>
      <c r="C65" s="6">
        <f>82.5339423975731 * $B$37 / 100</f>
        <v>82.533942397573099</v>
      </c>
      <c r="D65" s="6">
        <v>10.39909333333333</v>
      </c>
      <c r="E65" s="7">
        <f>10.3990933333333 * $B$37 / 100</f>
        <v>10.399093333333299</v>
      </c>
    </row>
    <row r="66" spans="1:18" x14ac:dyDescent="0.25">
      <c r="A66" s="5">
        <v>608</v>
      </c>
      <c r="B66" s="6">
        <v>83.925843945479357</v>
      </c>
      <c r="C66" s="6">
        <f>83.9258439454793 * $B$37 / 100</f>
        <v>83.925843945479301</v>
      </c>
      <c r="D66" s="6">
        <v>10.574469835254961</v>
      </c>
      <c r="E66" s="7">
        <f>10.5744698352549 * $B$37 / 100</f>
        <v>10.574469835254899</v>
      </c>
    </row>
    <row r="67" spans="1:18" x14ac:dyDescent="0.25">
      <c r="A67" s="5">
        <v>628</v>
      </c>
      <c r="B67" s="6">
        <v>85.295034534467405</v>
      </c>
      <c r="C67" s="6">
        <f>85.2950345344674 * $B$37 / 100</f>
        <v>85.295034534467419</v>
      </c>
      <c r="D67" s="6">
        <v>10.7469848068217</v>
      </c>
      <c r="E67" s="7">
        <f>10.7469848068217 * $B$37 / 100</f>
        <v>10.746984806821702</v>
      </c>
    </row>
    <row r="68" spans="1:18" x14ac:dyDescent="0.25">
      <c r="A68" s="5">
        <v>648</v>
      </c>
      <c r="B68" s="6">
        <v>86.642590857562752</v>
      </c>
      <c r="C68" s="6">
        <f>86.6425908575627 * $B$37 / 100</f>
        <v>86.642590857562695</v>
      </c>
      <c r="D68" s="6">
        <v>10.91677390896211</v>
      </c>
      <c r="E68" s="7">
        <f>10.9167739089621 * $B$37 / 100</f>
        <v>10.916773908962099</v>
      </c>
    </row>
    <row r="69" spans="1:18" x14ac:dyDescent="0.25">
      <c r="A69" s="5">
        <v>668</v>
      </c>
      <c r="B69" s="6">
        <v>87.969507130516817</v>
      </c>
      <c r="C69" s="6">
        <f>87.9695071305168 * $B$37 / 100</f>
        <v>87.969507130516789</v>
      </c>
      <c r="D69" s="6">
        <v>11.083962410651489</v>
      </c>
      <c r="E69" s="7">
        <f>11.0839624106514 * $B$37 / 100</f>
        <v>11.083962410651401</v>
      </c>
    </row>
    <row r="70" spans="1:18" x14ac:dyDescent="0.25">
      <c r="A70" s="5">
        <v>688</v>
      </c>
      <c r="B70" s="6">
        <v>89.276703674928996</v>
      </c>
      <c r="C70" s="6">
        <f>89.276703674929 * $B$37 / 100</f>
        <v>89.276703674928996</v>
      </c>
      <c r="D70" s="6">
        <v>11.24866627036622</v>
      </c>
      <c r="E70" s="7">
        <f>11.2486662703662 * $B$37 / 100</f>
        <v>11.248666270366201</v>
      </c>
    </row>
    <row r="71" spans="1:18" x14ac:dyDescent="0.25">
      <c r="A71" s="5">
        <v>708</v>
      </c>
      <c r="B71" s="6">
        <v>90.565034385993101</v>
      </c>
      <c r="C71" s="6">
        <f>90.5650343859931 * $B$37 / 100</f>
        <v>90.565034385993101</v>
      </c>
      <c r="D71" s="6">
        <v>11.410993077003161</v>
      </c>
      <c r="E71" s="7">
        <f>11.4109930770031 * $B$37 / 100</f>
        <v>11.4109930770031</v>
      </c>
    </row>
    <row r="72" spans="1:18" x14ac:dyDescent="0.25">
      <c r="A72" s="5">
        <v>728</v>
      </c>
      <c r="B72" s="6">
        <v>91.835293257065089</v>
      </c>
      <c r="C72" s="6">
        <f>91.835293257065 * $B$37 / 100</f>
        <v>91.835293257065004</v>
      </c>
      <c r="D72" s="6">
        <v>11.57104287196074</v>
      </c>
      <c r="E72" s="7">
        <f>11.5710428719607 * $B$37 / 100</f>
        <v>11.571042871960699</v>
      </c>
    </row>
    <row r="73" spans="1:18" x14ac:dyDescent="0.25">
      <c r="A73" s="5">
        <v>748</v>
      </c>
      <c r="B73" s="6">
        <v>93.088220102686336</v>
      </c>
      <c r="C73" s="6">
        <f>93.0882201026863 * $B$37 / 100</f>
        <v>93.088220102686307</v>
      </c>
      <c r="D73" s="6">
        <v>11.728908870227141</v>
      </c>
      <c r="E73" s="7">
        <f>11.7289088702271 * $B$37 / 100</f>
        <v>11.728908870227098</v>
      </c>
    </row>
    <row r="74" spans="1:18" x14ac:dyDescent="0.25">
      <c r="A74" s="8">
        <v>768</v>
      </c>
      <c r="B74" s="9">
        <v>94.324505597226462</v>
      </c>
      <c r="C74" s="9">
        <f>94.3245055972264 * $B$37 / 100</f>
        <v>94.324505597226391</v>
      </c>
      <c r="D74" s="9">
        <v>11.884678095238099</v>
      </c>
      <c r="E74" s="10">
        <f>11.884678095238 * $B$37 / 100</f>
        <v>11.884678095238</v>
      </c>
    </row>
    <row r="76" spans="1:18" ht="28.9" customHeight="1" x14ac:dyDescent="0.5">
      <c r="A76" s="1" t="s">
        <v>25</v>
      </c>
      <c r="B76" s="1"/>
    </row>
    <row r="77" spans="1:18" x14ac:dyDescent="0.25">
      <c r="A77" s="21" t="s">
        <v>26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27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28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18" ht="28.9" customHeight="1" x14ac:dyDescent="0.5">
      <c r="A81" s="1" t="s">
        <v>29</v>
      </c>
      <c r="B81" s="1"/>
    </row>
    <row r="82" spans="1:18" x14ac:dyDescent="0.25">
      <c r="A82" s="24" t="s">
        <v>30</v>
      </c>
      <c r="B82" s="25" t="s">
        <v>31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6"/>
    </row>
    <row r="83" spans="1:18" x14ac:dyDescent="0.25">
      <c r="A83" s="27" t="s">
        <v>41</v>
      </c>
      <c r="B83" s="28">
        <v>4</v>
      </c>
      <c r="C83" s="28">
        <v>5</v>
      </c>
      <c r="D83" s="28">
        <v>6</v>
      </c>
      <c r="E83" s="28">
        <v>7</v>
      </c>
      <c r="F83" s="28">
        <v>8</v>
      </c>
      <c r="G83" s="28">
        <v>9</v>
      </c>
      <c r="H83" s="28">
        <v>10</v>
      </c>
      <c r="I83" s="28">
        <v>11</v>
      </c>
      <c r="J83" s="28">
        <v>12</v>
      </c>
      <c r="K83" s="28">
        <v>13</v>
      </c>
      <c r="L83" s="28">
        <v>14</v>
      </c>
      <c r="M83" s="28">
        <v>15</v>
      </c>
      <c r="N83" s="28">
        <v>16</v>
      </c>
      <c r="O83" s="28">
        <v>17</v>
      </c>
      <c r="P83" s="28">
        <v>18</v>
      </c>
      <c r="Q83" s="28">
        <v>19</v>
      </c>
      <c r="R83" s="29">
        <v>20</v>
      </c>
    </row>
    <row r="84" spans="1:18" x14ac:dyDescent="0.25">
      <c r="A84" s="30">
        <v>128</v>
      </c>
      <c r="B84" s="31">
        <v>5.8555469633448656</v>
      </c>
      <c r="C84" s="31">
        <v>4.7478139217705921</v>
      </c>
      <c r="D84" s="31">
        <v>3.814001098874972</v>
      </c>
      <c r="E84" s="31">
        <v>3.0416022070192521</v>
      </c>
      <c r="F84" s="31">
        <v>2.4168103367249931</v>
      </c>
      <c r="G84" s="31">
        <v>1.924517956674068</v>
      </c>
      <c r="H84" s="31">
        <v>1.5483169137086701</v>
      </c>
      <c r="I84" s="31">
        <v>1.2704984328313049</v>
      </c>
      <c r="J84" s="31">
        <v>1.0720531172047989</v>
      </c>
      <c r="K84" s="31">
        <v>0.93267094815229201</v>
      </c>
      <c r="L84" s="31">
        <v>0.83074128515723211</v>
      </c>
      <c r="M84" s="31">
        <v>0.74335286586340166</v>
      </c>
      <c r="N84" s="31">
        <v>0.64629380607488329</v>
      </c>
      <c r="O84" s="31">
        <v>0.51405159975607728</v>
      </c>
      <c r="P84" s="31">
        <v>0.31981311903171611</v>
      </c>
      <c r="Q84" s="31">
        <v>3.5464614186820627E-2</v>
      </c>
      <c r="R84" s="32">
        <v>-0.36840828633323858</v>
      </c>
    </row>
    <row r="85" spans="1:18" x14ac:dyDescent="0.25">
      <c r="A85" s="30">
        <v>148</v>
      </c>
      <c r="B85" s="31">
        <v>5.912153286957639</v>
      </c>
      <c r="C85" s="31">
        <v>4.783687000353166</v>
      </c>
      <c r="D85" s="31">
        <v>3.8346053067776338</v>
      </c>
      <c r="E85" s="31">
        <v>3.0517621554681078</v>
      </c>
      <c r="F85" s="31">
        <v>2.4207108738219589</v>
      </c>
      <c r="G85" s="31">
        <v>1.925704167396888</v>
      </c>
      <c r="H85" s="31">
        <v>1.5496941199109009</v>
      </c>
      <c r="I85" s="31">
        <v>1.2743321932423199</v>
      </c>
      <c r="J85" s="31">
        <v>1.079969227429793</v>
      </c>
      <c r="K85" s="31">
        <v>0.94565544067227703</v>
      </c>
      <c r="L85" s="31">
        <v>0.84914042932904388</v>
      </c>
      <c r="M85" s="31">
        <v>0.76687316791968552</v>
      </c>
      <c r="N85" s="31">
        <v>0.67400200912410413</v>
      </c>
      <c r="O85" s="31">
        <v>0.54437468378253429</v>
      </c>
      <c r="P85" s="31">
        <v>0.35053830089550181</v>
      </c>
      <c r="Q85" s="31">
        <v>6.3739347623859466E-2</v>
      </c>
      <c r="R85" s="32">
        <v>-0.34607631071121331</v>
      </c>
    </row>
    <row r="86" spans="1:18" x14ac:dyDescent="0.25">
      <c r="A86" s="30">
        <v>168</v>
      </c>
      <c r="B86" s="31">
        <v>5.9811183152523082</v>
      </c>
      <c r="C86" s="31">
        <v>4.8296235548394222</v>
      </c>
      <c r="D86" s="31">
        <v>3.8631425404155979</v>
      </c>
      <c r="E86" s="31">
        <v>3.0678894580937222</v>
      </c>
      <c r="F86" s="31">
        <v>2.4287778721469868</v>
      </c>
      <c r="G86" s="31">
        <v>1.9294207250089059</v>
      </c>
      <c r="H86" s="31">
        <v>1.5521303372733071</v>
      </c>
      <c r="I86" s="31">
        <v>1.27791840769433</v>
      </c>
      <c r="J86" s="31">
        <v>1.086496013186441</v>
      </c>
      <c r="K86" s="31">
        <v>0.95627360882441426</v>
      </c>
      <c r="L86" s="31">
        <v>0.86436102784333813</v>
      </c>
      <c r="M86" s="31">
        <v>0.78656748163862478</v>
      </c>
      <c r="N86" s="31">
        <v>0.6974015597660026</v>
      </c>
      <c r="O86" s="31">
        <v>0.5700712299414975</v>
      </c>
      <c r="P86" s="31">
        <v>0.37648383804148561</v>
      </c>
      <c r="Q86" s="31">
        <v>8.7246108102632988E-2</v>
      </c>
      <c r="R86" s="32">
        <v>-0.3283358576780771</v>
      </c>
    </row>
    <row r="87" spans="1:18" x14ac:dyDescent="0.25">
      <c r="A87" s="30">
        <v>188</v>
      </c>
      <c r="B87" s="31">
        <v>6.0624577793113801</v>
      </c>
      <c r="C87" s="31">
        <v>4.8856797442963362</v>
      </c>
      <c r="D87" s="31">
        <v>3.8997093868403172</v>
      </c>
      <c r="E87" s="31">
        <v>3.0901211299320268</v>
      </c>
      <c r="F87" s="31">
        <v>2.4411887747204761</v>
      </c>
      <c r="G87" s="31">
        <v>1.935885500514998</v>
      </c>
      <c r="H87" s="31">
        <v>1.5558838647852371</v>
      </c>
      <c r="I87" s="31">
        <v>1.2815558031611529</v>
      </c>
      <c r="J87" s="31">
        <v>1.0919726294330281</v>
      </c>
      <c r="K87" s="31">
        <v>0.96490503555145624</v>
      </c>
      <c r="L87" s="31">
        <v>0.87682309162734562</v>
      </c>
      <c r="M87" s="31">
        <v>0.80289624593192632</v>
      </c>
      <c r="N87" s="31">
        <v>0.71699332489673562</v>
      </c>
      <c r="O87" s="31">
        <v>0.59168253311363905</v>
      </c>
      <c r="P87" s="31">
        <v>0.39823145333481502</v>
      </c>
      <c r="Q87" s="31">
        <v>0.1066070464727344</v>
      </c>
      <c r="R87" s="32">
        <v>-0.31452434839977172</v>
      </c>
    </row>
    <row r="88" spans="1:18" x14ac:dyDescent="0.25">
      <c r="A88" s="30">
        <v>208</v>
      </c>
      <c r="B88" s="31">
        <v>6.1561620537516939</v>
      </c>
      <c r="C88" s="31">
        <v>4.9518863713252186</v>
      </c>
      <c r="D88" s="31">
        <v>3.9443770766375699</v>
      </c>
      <c r="E88" s="31">
        <v>3.1185688295532699</v>
      </c>
      <c r="F88" s="31">
        <v>2.4580956680971502</v>
      </c>
      <c r="G88" s="31">
        <v>1.945291008454356</v>
      </c>
      <c r="H88" s="31">
        <v>1.561187644970355</v>
      </c>
      <c r="I88" s="31">
        <v>1.2855177501509261</v>
      </c>
      <c r="J88" s="31">
        <v>1.0967128746621659</v>
      </c>
      <c r="K88" s="31">
        <v>0.97190394733049146</v>
      </c>
      <c r="L88" s="31">
        <v>0.88692127514262209</v>
      </c>
      <c r="M88" s="31">
        <v>0.81629454324561357</v>
      </c>
      <c r="N88" s="31">
        <v>0.7332528149468216</v>
      </c>
      <c r="O88" s="31">
        <v>0.60972453171391272</v>
      </c>
      <c r="P88" s="31">
        <v>0.41633751317490819</v>
      </c>
      <c r="Q88" s="31">
        <v>0.1224189571180947</v>
      </c>
      <c r="R88" s="32">
        <v>-0.30400456050789693</v>
      </c>
    </row>
    <row r="89" spans="1:18" x14ac:dyDescent="0.25">
      <c r="A89" s="30">
        <v>228</v>
      </c>
      <c r="B89" s="31">
        <v>6.2621961567244178</v>
      </c>
      <c r="C89" s="31">
        <v>5.0282488820617086</v>
      </c>
      <c r="D89" s="31">
        <v>3.9971914839274678</v>
      </c>
      <c r="E89" s="31">
        <v>3.1533188590620349</v>
      </c>
      <c r="F89" s="31">
        <v>2.4796252823660612</v>
      </c>
      <c r="G89" s="31">
        <v>1.9578044069005089</v>
      </c>
      <c r="H89" s="31">
        <v>1.5682492638866641</v>
      </c>
      <c r="I89" s="31">
        <v>1.2900522627061199</v>
      </c>
      <c r="J89" s="31">
        <v>1.101005190900799</v>
      </c>
      <c r="K89" s="31">
        <v>0.97759921417292728</v>
      </c>
      <c r="L89" s="31">
        <v>0.89502487638505412</v>
      </c>
      <c r="M89" s="31">
        <v>0.82717209956004345</v>
      </c>
      <c r="N89" s="31">
        <v>0.74663018388107261</v>
      </c>
      <c r="O89" s="31">
        <v>0.62468780769164034</v>
      </c>
      <c r="P89" s="31">
        <v>0.43133302749555902</v>
      </c>
      <c r="Q89" s="31">
        <v>0.1352532779569379</v>
      </c>
      <c r="R89" s="32">
        <v>-0.29616462809975452</v>
      </c>
    </row>
    <row r="90" spans="1:18" x14ac:dyDescent="0.25">
      <c r="A90" s="30">
        <v>248</v>
      </c>
      <c r="B90" s="31">
        <v>6.3804997499150424</v>
      </c>
      <c r="C90" s="31">
        <v>5.1147473661757736</v>
      </c>
      <c r="D90" s="31">
        <v>4.0581731263644532</v>
      </c>
      <c r="E90" s="31">
        <v>3.1944321640972371</v>
      </c>
      <c r="F90" s="31">
        <v>2.505878991150595</v>
      </c>
      <c r="G90" s="31">
        <v>1.973567497461312</v>
      </c>
      <c r="H90" s="31">
        <v>1.5772509511264881</v>
      </c>
      <c r="I90" s="31">
        <v>1.2953819984035371</v>
      </c>
      <c r="J90" s="31">
        <v>1.1051126637101969</v>
      </c>
      <c r="K90" s="31">
        <v>0.98229434962451712</v>
      </c>
      <c r="L90" s="31">
        <v>0.90147783688485905</v>
      </c>
      <c r="M90" s="31">
        <v>0.83591328438990808</v>
      </c>
      <c r="N90" s="31">
        <v>0.75755022919866466</v>
      </c>
      <c r="O90" s="31">
        <v>0.63703758653042553</v>
      </c>
      <c r="P90" s="31">
        <v>0.44372364976484768</v>
      </c>
      <c r="Q90" s="31">
        <v>0.14565609044185729</v>
      </c>
      <c r="R90" s="32">
        <v>-0.29041804173827762</v>
      </c>
    </row>
    <row r="91" spans="1:18" x14ac:dyDescent="0.25">
      <c r="A91" s="30">
        <v>268</v>
      </c>
      <c r="B91" s="31">
        <v>6.5109871385433937</v>
      </c>
      <c r="C91" s="31">
        <v>5.2113365568717054</v>
      </c>
      <c r="D91" s="31">
        <v>4.127317165137284</v>
      </c>
      <c r="E91" s="31">
        <v>3.2419443338321079</v>
      </c>
      <c r="F91" s="31">
        <v>2.5369328116084602</v>
      </c>
      <c r="G91" s="31">
        <v>1.992696725278944</v>
      </c>
      <c r="H91" s="31">
        <v>1.58834957981648</v>
      </c>
      <c r="I91" s="31">
        <v>1.301704258354299</v>
      </c>
      <c r="J91" s="31">
        <v>1.109273022185959</v>
      </c>
      <c r="K91" s="31">
        <v>0.98626751076532604</v>
      </c>
      <c r="L91" s="31">
        <v>0.90659874170657895</v>
      </c>
      <c r="M91" s="31">
        <v>0.842877110784223</v>
      </c>
      <c r="N91" s="31">
        <v>0.76641239193307331</v>
      </c>
      <c r="O91" s="31">
        <v>0.64721373724825615</v>
      </c>
      <c r="P91" s="31">
        <v>0.45398967698523413</v>
      </c>
      <c r="Q91" s="31">
        <v>0.1541481195597445</v>
      </c>
      <c r="R91" s="32">
        <v>-0.28620364845210128</v>
      </c>
    </row>
    <row r="92" spans="1:18" x14ac:dyDescent="0.25">
      <c r="A92" s="30">
        <v>288</v>
      </c>
      <c r="B92" s="31">
        <v>6.6535472713636192</v>
      </c>
      <c r="C92" s="31">
        <v>5.317945830888128</v>
      </c>
      <c r="D92" s="31">
        <v>4.2045934049690619</v>
      </c>
      <c r="E92" s="31">
        <v>3.295865600974218</v>
      </c>
      <c r="F92" s="31">
        <v>2.5728374044316951</v>
      </c>
      <c r="G92" s="31">
        <v>2.0152831790299168</v>
      </c>
      <c r="H92" s="31">
        <v>1.6016766666176241</v>
      </c>
      <c r="I92" s="31">
        <v>1.3091909872038621</v>
      </c>
      <c r="J92" s="31">
        <v>1.113698638958009</v>
      </c>
      <c r="K92" s="31">
        <v>0.98977149820974575</v>
      </c>
      <c r="L92" s="31">
        <v>0.91068081944907819</v>
      </c>
      <c r="M92" s="31">
        <v>0.84839723532632305</v>
      </c>
      <c r="N92" s="31">
        <v>0.77359075665211219</v>
      </c>
      <c r="O92" s="31">
        <v>0.65563077239739542</v>
      </c>
      <c r="P92" s="31">
        <v>0.4625860496934458</v>
      </c>
      <c r="Q92" s="31">
        <v>0.16122473383184219</v>
      </c>
      <c r="R92" s="32">
        <v>-0.28298565173552431</v>
      </c>
    </row>
    <row r="93" spans="1:18" x14ac:dyDescent="0.25">
      <c r="A93" s="30">
        <v>308</v>
      </c>
      <c r="B93" s="31">
        <v>6.8080437406641963</v>
      </c>
      <c r="C93" s="31">
        <v>5.4344792084979892</v>
      </c>
      <c r="D93" s="31">
        <v>4.2899462941172057</v>
      </c>
      <c r="E93" s="31">
        <v>3.3561808417654571</v>
      </c>
      <c r="F93" s="31">
        <v>2.613618073846665</v>
      </c>
      <c r="G93" s="31">
        <v>2.041392590925069</v>
      </c>
      <c r="H93" s="31">
        <v>1.6173383717252281</v>
      </c>
      <c r="I93" s="31">
        <v>1.3179887731320079</v>
      </c>
      <c r="J93" s="31">
        <v>1.1185765301906021</v>
      </c>
      <c r="K93" s="31">
        <v>0.99303375610651468</v>
      </c>
      <c r="L93" s="31">
        <v>0.91399194224556035</v>
      </c>
      <c r="M93" s="31">
        <v>0.85278195813388247</v>
      </c>
      <c r="N93" s="31">
        <v>0.77943405145793254</v>
      </c>
      <c r="O93" s="31">
        <v>0.66267784806446894</v>
      </c>
      <c r="P93" s="31">
        <v>0.46994235196059198</v>
      </c>
      <c r="Q93" s="31">
        <v>0.1673559453136893</v>
      </c>
      <c r="R93" s="32">
        <v>-0.2802536115485168</v>
      </c>
    </row>
    <row r="94" spans="1:18" x14ac:dyDescent="0.25">
      <c r="A94" s="30">
        <v>328</v>
      </c>
      <c r="B94" s="31">
        <v>6.9743147822679283</v>
      </c>
      <c r="C94" s="31">
        <v>5.5608153535085636</v>
      </c>
      <c r="D94" s="31">
        <v>4.3832949243734616</v>
      </c>
      <c r="E94" s="31">
        <v>3.422849575982045</v>
      </c>
      <c r="F94" s="31">
        <v>2.6592747676140611</v>
      </c>
      <c r="G94" s="31">
        <v>2.0710653367095628</v>
      </c>
      <c r="H94" s="31">
        <v>1.63541549886893</v>
      </c>
      <c r="I94" s="31">
        <v>1.3282188478528441</v>
      </c>
      <c r="J94" s="31">
        <v>1.124068355582319</v>
      </c>
      <c r="K94" s="31">
        <v>0.99625637213867446</v>
      </c>
      <c r="L94" s="31">
        <v>0.91677462576354929</v>
      </c>
      <c r="M94" s="31">
        <v>0.85631422285889813</v>
      </c>
      <c r="N94" s="31">
        <v>0.78426564798698994</v>
      </c>
      <c r="O94" s="31">
        <v>0.66871876387040707</v>
      </c>
      <c r="P94" s="31">
        <v>0.47646281139207319</v>
      </c>
      <c r="Q94" s="31">
        <v>0.17298640959518599</v>
      </c>
      <c r="R94" s="32">
        <v>-0.27752244431671608</v>
      </c>
    </row>
    <row r="95" spans="1:18" x14ac:dyDescent="0.25">
      <c r="A95" s="30">
        <v>348</v>
      </c>
      <c r="B95" s="31">
        <v>7.152173275531954</v>
      </c>
      <c r="C95" s="31">
        <v>5.6968075732614656</v>
      </c>
      <c r="D95" s="31">
        <v>4.4845330310639113</v>
      </c>
      <c r="E95" s="31">
        <v>3.4958059669345412</v>
      </c>
      <c r="F95" s="31">
        <v>2.7097820770289101</v>
      </c>
      <c r="G95" s="31">
        <v>2.1043164356628981</v>
      </c>
      <c r="H95" s="31">
        <v>1.655963495312698</v>
      </c>
      <c r="I95" s="31">
        <v>1.33997708661481</v>
      </c>
      <c r="J95" s="31">
        <v>1.130310418366071</v>
      </c>
      <c r="K95" s="31">
        <v>0.99961607752361714</v>
      </c>
      <c r="L95" s="31">
        <v>0.91924602920489606</v>
      </c>
      <c r="M95" s="31">
        <v>0.85925161668769667</v>
      </c>
      <c r="N95" s="31">
        <v>0.78838356141009669</v>
      </c>
      <c r="O95" s="31">
        <v>0.67409196297049878</v>
      </c>
      <c r="P95" s="31">
        <v>0.48252629912764189</v>
      </c>
      <c r="Q95" s="31">
        <v>0.1785354258005398</v>
      </c>
      <c r="R95" s="32">
        <v>-0.27433242293143861</v>
      </c>
    </row>
    <row r="96" spans="1:18" x14ac:dyDescent="0.25">
      <c r="A96" s="30">
        <v>368</v>
      </c>
      <c r="B96" s="31">
        <v>7.3414067433477328</v>
      </c>
      <c r="C96" s="31">
        <v>5.842283818632624</v>
      </c>
      <c r="D96" s="31">
        <v>4.593528993048964</v>
      </c>
      <c r="E96" s="31">
        <v>3.5749588214678161</v>
      </c>
      <c r="F96" s="31">
        <v>2.7650892369205629</v>
      </c>
      <c r="G96" s="31">
        <v>2.141135550598896</v>
      </c>
      <c r="H96" s="31">
        <v>1.6790124518548271</v>
      </c>
      <c r="I96" s="31">
        <v>1.353334008200678</v>
      </c>
      <c r="J96" s="31">
        <v>1.1374136653091</v>
      </c>
      <c r="K96" s="31">
        <v>1.0032642470130471</v>
      </c>
      <c r="L96" s="31">
        <v>0.92159795530579491</v>
      </c>
      <c r="M96" s="31">
        <v>0.86182637034093701</v>
      </c>
      <c r="N96" s="31">
        <v>0.7920604504323755</v>
      </c>
      <c r="O96" s="31">
        <v>0.67911053205432925</v>
      </c>
      <c r="P96" s="31">
        <v>0.48848632984135609</v>
      </c>
      <c r="Q96" s="31">
        <v>0.18439693658829451</v>
      </c>
      <c r="R96" s="32">
        <v>-0.27024917674966531</v>
      </c>
    </row>
    <row r="97" spans="1:18" x14ac:dyDescent="0.25">
      <c r="A97" s="30">
        <v>388</v>
      </c>
      <c r="B97" s="31">
        <v>7.5417773521410592</v>
      </c>
      <c r="C97" s="31">
        <v>5.9970466840323038</v>
      </c>
      <c r="D97" s="31">
        <v>4.7101258327233468</v>
      </c>
      <c r="E97" s="31">
        <v>3.6601915899610811</v>
      </c>
      <c r="F97" s="31">
        <v>2.825120125652695</v>
      </c>
      <c r="G97" s="31">
        <v>2.1814869878657039</v>
      </c>
      <c r="H97" s="31">
        <v>1.7045671028279381</v>
      </c>
      <c r="I97" s="31">
        <v>1.3683347749275381</v>
      </c>
      <c r="J97" s="31">
        <v>1.1454636867129679</v>
      </c>
      <c r="K97" s="31">
        <v>1.007326898893008</v>
      </c>
      <c r="L97" s="31">
        <v>0.92399685033674428</v>
      </c>
      <c r="M97" s="31">
        <v>0.86424535807359382</v>
      </c>
      <c r="N97" s="31">
        <v>0.79554361729327816</v>
      </c>
      <c r="O97" s="31">
        <v>0.68406220134583329</v>
      </c>
      <c r="P97" s="31">
        <v>0.49467106174163777</v>
      </c>
      <c r="Q97" s="31">
        <v>0.19093952815133081</v>
      </c>
      <c r="R97" s="32">
        <v>-0.26486369159405848</v>
      </c>
    </row>
    <row r="98" spans="1:18" x14ac:dyDescent="0.25">
      <c r="A98" s="30">
        <v>408</v>
      </c>
      <c r="B98" s="31">
        <v>7.7530219118720431</v>
      </c>
      <c r="C98" s="31">
        <v>6.1608734074050906</v>
      </c>
      <c r="D98" s="31">
        <v>4.8341412160161319</v>
      </c>
      <c r="E98" s="31">
        <v>3.751362366327867</v>
      </c>
      <c r="F98" s="31">
        <v>2.8897732651233139</v>
      </c>
      <c r="G98" s="31">
        <v>2.2253096973458031</v>
      </c>
      <c r="H98" s="31">
        <v>1.732606826098982</v>
      </c>
      <c r="I98" s="31">
        <v>1.384999192646809</v>
      </c>
      <c r="J98" s="31">
        <v>1.1545207164135729</v>
      </c>
      <c r="K98" s="31">
        <v>1.011904694983863</v>
      </c>
      <c r="L98" s="31">
        <v>0.92658380410258911</v>
      </c>
      <c r="M98" s="31">
        <v>0.86669009767498273</v>
      </c>
      <c r="N98" s="31">
        <v>0.79905500776658833</v>
      </c>
      <c r="O98" s="31">
        <v>0.68920934460325645</v>
      </c>
      <c r="P98" s="31">
        <v>0.50138329657118597</v>
      </c>
      <c r="Q98" s="31">
        <v>0.19850643021684</v>
      </c>
      <c r="R98" s="32">
        <v>-0.25779230975295059</v>
      </c>
    </row>
    <row r="99" spans="1:18" x14ac:dyDescent="0.25">
      <c r="A99" s="30">
        <v>428</v>
      </c>
      <c r="B99" s="31">
        <v>7.9748518760351432</v>
      </c>
      <c r="C99" s="31">
        <v>6.3335158702299079</v>
      </c>
      <c r="D99" s="31">
        <v>4.9653674523906997</v>
      </c>
      <c r="E99" s="31">
        <v>3.8483038880160372</v>
      </c>
      <c r="F99" s="31">
        <v>2.9589218207647519</v>
      </c>
      <c r="G99" s="31">
        <v>2.2725172724559979</v>
      </c>
      <c r="H99" s="31">
        <v>1.763085643069237</v>
      </c>
      <c r="I99" s="31">
        <v>1.4033217107442471</v>
      </c>
      <c r="J99" s="31">
        <v>1.164619631781133</v>
      </c>
      <c r="K99" s="31">
        <v>1.0170729406403061</v>
      </c>
      <c r="L99" s="31">
        <v>0.92947454994249123</v>
      </c>
      <c r="M99" s="31">
        <v>0.86931675046874168</v>
      </c>
      <c r="N99" s="31">
        <v>0.80279121116041996</v>
      </c>
      <c r="O99" s="31">
        <v>0.69478897911919746</v>
      </c>
      <c r="P99" s="31">
        <v>0.50890047960707119</v>
      </c>
      <c r="Q99" s="31">
        <v>0.2074155160463462</v>
      </c>
      <c r="R99" s="32">
        <v>-0.2486767299803283</v>
      </c>
    </row>
    <row r="100" spans="1:18" x14ac:dyDescent="0.25">
      <c r="A100" s="30">
        <v>448</v>
      </c>
      <c r="B100" s="31">
        <v>8.2069533416591227</v>
      </c>
      <c r="C100" s="31">
        <v>6.5147005975200001</v>
      </c>
      <c r="D100" s="31">
        <v>5.1035714948447719</v>
      </c>
      <c r="E100" s="31">
        <v>3.950823536007781</v>
      </c>
      <c r="F100" s="31">
        <v>3.0324136015436758</v>
      </c>
      <c r="G100" s="31">
        <v>2.3229979501474229</v>
      </c>
      <c r="H100" s="31">
        <v>1.795932218674309</v>
      </c>
      <c r="I100" s="31">
        <v>1.423271422139927</v>
      </c>
      <c r="J100" s="31">
        <v>1.1757699537202011</v>
      </c>
      <c r="K100" s="31">
        <v>1.022881584751361</v>
      </c>
      <c r="L100" s="31">
        <v>0.93275946472995097</v>
      </c>
      <c r="M100" s="31">
        <v>0.87225612131283836</v>
      </c>
      <c r="N100" s="31">
        <v>0.80692346031720752</v>
      </c>
      <c r="O100" s="31">
        <v>0.70101276572054161</v>
      </c>
      <c r="P100" s="31">
        <v>0.51747469966067261</v>
      </c>
      <c r="Q100" s="31">
        <v>0.21795930243571421</v>
      </c>
      <c r="R100" s="32">
        <v>-0.237184007495884</v>
      </c>
    </row>
    <row r="101" spans="1:18" x14ac:dyDescent="0.25">
      <c r="A101" s="30">
        <v>468</v>
      </c>
      <c r="B101" s="31">
        <v>8.4489870493070853</v>
      </c>
      <c r="C101" s="31">
        <v>6.7041287578229376</v>
      </c>
      <c r="D101" s="31">
        <v>5.2484949399103966</v>
      </c>
      <c r="E101" s="31">
        <v>4.0587033348196169</v>
      </c>
      <c r="F101" s="31">
        <v>3.1100710599610681</v>
      </c>
      <c r="G101" s="31">
        <v>2.376614610905539</v>
      </c>
      <c r="H101" s="31">
        <v>1.831049861384128</v>
      </c>
      <c r="I101" s="31">
        <v>1.4447920632882529</v>
      </c>
      <c r="J101" s="31">
        <v>1.187955846669654</v>
      </c>
      <c r="K101" s="31">
        <v>1.029355219740375</v>
      </c>
      <c r="L101" s="31">
        <v>0.93650356887277864</v>
      </c>
      <c r="M101" s="31">
        <v>0.87561365859956231</v>
      </c>
      <c r="N101" s="31">
        <v>0.81159763161371334</v>
      </c>
      <c r="O101" s="31">
        <v>0.70806700876854134</v>
      </c>
      <c r="P101" s="31">
        <v>0.52733268907769582</v>
      </c>
      <c r="Q101" s="31">
        <v>0.23040494971509951</v>
      </c>
      <c r="R101" s="32">
        <v>-0.22300655398495911</v>
      </c>
    </row>
    <row r="102" spans="1:18" x14ac:dyDescent="0.25">
      <c r="A102" s="30">
        <v>488</v>
      </c>
      <c r="B102" s="31">
        <v>8.7005883830764628</v>
      </c>
      <c r="C102" s="31">
        <v>6.9014761632206314</v>
      </c>
      <c r="D102" s="31">
        <v>5.3998540276539471</v>
      </c>
      <c r="E102" s="31">
        <v>4.171699952502391</v>
      </c>
      <c r="F102" s="31">
        <v>3.1916912920522562</v>
      </c>
      <c r="G102" s="31">
        <v>2.4332047787501399</v>
      </c>
      <c r="H102" s="31">
        <v>1.868316523202967</v>
      </c>
      <c r="I102" s="31">
        <v>1.467802014177966</v>
      </c>
      <c r="J102" s="31">
        <v>1.2011361186027001</v>
      </c>
      <c r="K102" s="31">
        <v>1.0364930815650319</v>
      </c>
      <c r="L102" s="31">
        <v>0.94074652631314271</v>
      </c>
      <c r="M102" s="31">
        <v>0.87946945425553857</v>
      </c>
      <c r="N102" s="31">
        <v>0.81693424496103983</v>
      </c>
      <c r="O102" s="31">
        <v>0.71611265615876551</v>
      </c>
      <c r="P102" s="31">
        <v>0.53867582373819012</v>
      </c>
      <c r="Q102" s="31">
        <v>0.2449942617490439</v>
      </c>
      <c r="R102" s="32">
        <v>-0.2058621375985546</v>
      </c>
    </row>
    <row r="103" spans="1:18" x14ac:dyDescent="0.25">
      <c r="A103" s="30">
        <v>508</v>
      </c>
      <c r="B103" s="31">
        <v>8.9613673705990138</v>
      </c>
      <c r="C103" s="31">
        <v>7.1063932693292999</v>
      </c>
      <c r="D103" s="31">
        <v>5.5573396416761236</v>
      </c>
      <c r="E103" s="31">
        <v>4.2895447006412812</v>
      </c>
      <c r="F103" s="31">
        <v>3.2770460373868771</v>
      </c>
      <c r="G103" s="31">
        <v>2.492580621235343</v>
      </c>
      <c r="H103" s="31">
        <v>1.9075847996694051</v>
      </c>
      <c r="I103" s="31">
        <v>1.4921942983321219</v>
      </c>
      <c r="J103" s="31">
        <v>1.215244221026869</v>
      </c>
      <c r="K103" s="31">
        <v>1.0442690497173319</v>
      </c>
      <c r="L103" s="31">
        <v>0.94550264452750665</v>
      </c>
      <c r="M103" s="31">
        <v>0.88387824374172175</v>
      </c>
      <c r="N103" s="31">
        <v>0.82302846380460604</v>
      </c>
      <c r="O103" s="31">
        <v>0.72528529932110786</v>
      </c>
      <c r="P103" s="31">
        <v>0.55168012305651171</v>
      </c>
      <c r="Q103" s="31">
        <v>0.26194368593636058</v>
      </c>
      <c r="R103" s="32">
        <v>-0.18549388295338429</v>
      </c>
    </row>
    <row r="104" spans="1:18" x14ac:dyDescent="0.25">
      <c r="A104" s="30">
        <v>528</v>
      </c>
      <c r="B104" s="31">
        <v>9.2309086830408322</v>
      </c>
      <c r="C104" s="31">
        <v>7.3185051752995101</v>
      </c>
      <c r="D104" s="31">
        <v>5.7206173091119572</v>
      </c>
      <c r="E104" s="31">
        <v>4.4119435343557871</v>
      </c>
      <c r="F104" s="31">
        <v>3.3658816790689179</v>
      </c>
      <c r="G104" s="31">
        <v>2.5545289494495922</v>
      </c>
      <c r="H104" s="31">
        <v>1.948681929856372</v>
      </c>
      <c r="I104" s="31">
        <v>1.5178365828081211</v>
      </c>
      <c r="J104" s="31">
        <v>1.230188248984033</v>
      </c>
      <c r="K104" s="31">
        <v>1.0526316472236179</v>
      </c>
      <c r="L104" s="31">
        <v>0.95076087452669167</v>
      </c>
      <c r="M104" s="31">
        <v>0.88886940605338505</v>
      </c>
      <c r="N104" s="31">
        <v>0.82995009512416651</v>
      </c>
      <c r="O104" s="31">
        <v>0.7356951732197905</v>
      </c>
      <c r="P104" s="31">
        <v>0.56649624998136272</v>
      </c>
      <c r="Q104" s="31">
        <v>0.28144431321026347</v>
      </c>
      <c r="R104" s="32">
        <v>-0.16167027113177929</v>
      </c>
    </row>
    <row r="105" spans="1:18" x14ac:dyDescent="0.25">
      <c r="A105" s="30">
        <v>548</v>
      </c>
      <c r="B105" s="31">
        <v>9.5087716351023186</v>
      </c>
      <c r="C105" s="31">
        <v>7.5374116238161468</v>
      </c>
      <c r="D105" s="31">
        <v>5.8893272006308104</v>
      </c>
      <c r="E105" s="31">
        <v>4.5385770522997362</v>
      </c>
      <c r="F105" s="31">
        <v>3.4579192437366668</v>
      </c>
      <c r="G105" s="31">
        <v>2.6188112180156651</v>
      </c>
      <c r="H105" s="31">
        <v>1.991409796371103</v>
      </c>
      <c r="I105" s="31">
        <v>1.544571178197669</v>
      </c>
      <c r="J105" s="31">
        <v>1.2458509410503751</v>
      </c>
      <c r="K105" s="31">
        <v>1.0615040406445431</v>
      </c>
      <c r="L105" s="31">
        <v>0.95648481085581116</v>
      </c>
      <c r="M105" s="31">
        <v>0.89444696372012877</v>
      </c>
      <c r="N105" s="31">
        <v>0.83774358943379024</v>
      </c>
      <c r="O105" s="31">
        <v>0.74742715635336421</v>
      </c>
      <c r="P105" s="31">
        <v>0.58324951099575284</v>
      </c>
      <c r="Q105" s="31">
        <v>0.30366187803818601</v>
      </c>
      <c r="R105" s="32">
        <v>-0.13418513968180801</v>
      </c>
    </row>
    <row r="106" spans="1:18" x14ac:dyDescent="0.25">
      <c r="A106" s="30">
        <v>568</v>
      </c>
      <c r="B106" s="31">
        <v>9.7944901850182191</v>
      </c>
      <c r="C106" s="31">
        <v>7.7626870010984224</v>
      </c>
      <c r="D106" s="31">
        <v>6.0630841304363647</v>
      </c>
      <c r="E106" s="31">
        <v>4.6691004966612901</v>
      </c>
      <c r="F106" s="31">
        <v>3.5528544015627621</v>
      </c>
      <c r="G106" s="31">
        <v>2.6851635250906609</v>
      </c>
      <c r="H106" s="31">
        <v>2.0355449253551749</v>
      </c>
      <c r="I106" s="31">
        <v>1.572215038626817</v>
      </c>
      <c r="J106" s="31">
        <v>1.2620896793364129</v>
      </c>
      <c r="K106" s="31">
        <v>1.070784040075101</v>
      </c>
      <c r="L106" s="31">
        <v>0.96261269159434315</v>
      </c>
      <c r="M106" s="31">
        <v>0.90058958280590895</v>
      </c>
      <c r="N106" s="31">
        <v>0.84642804078189293</v>
      </c>
      <c r="O106" s="31">
        <v>0.76054077075469473</v>
      </c>
      <c r="P106" s="31">
        <v>0.60203985611704902</v>
      </c>
      <c r="Q106" s="31">
        <v>0.3287367584219697</v>
      </c>
      <c r="R106" s="32">
        <v>-0.1028576826171595</v>
      </c>
    </row>
    <row r="107" spans="1:18" x14ac:dyDescent="0.25">
      <c r="A107" s="30">
        <v>588</v>
      </c>
      <c r="B107" s="31">
        <v>10.08757293455761</v>
      </c>
      <c r="C107" s="31">
        <v>7.9938803368998821</v>
      </c>
      <c r="D107" s="31">
        <v>6.2414775562666343</v>
      </c>
      <c r="E107" s="31">
        <v>4.8031437531629351</v>
      </c>
      <c r="F107" s="31">
        <v>3.650357466254162</v>
      </c>
      <c r="G107" s="31">
        <v>2.7532966123660141</v>
      </c>
      <c r="H107" s="31">
        <v>2.080838486484502</v>
      </c>
      <c r="I107" s="31">
        <v>1.6005597617559451</v>
      </c>
      <c r="J107" s="31">
        <v>1.278736489486999</v>
      </c>
      <c r="K107" s="31">
        <v>1.0803440991446169</v>
      </c>
      <c r="L107" s="31">
        <v>0.96905739835607685</v>
      </c>
      <c r="M107" s="31">
        <v>0.90725057290896816</v>
      </c>
      <c r="N107" s="31">
        <v>0.85599718675120529</v>
      </c>
      <c r="O107" s="31">
        <v>0.77507018199100652</v>
      </c>
      <c r="P107" s="31">
        <v>0.62294187889692409</v>
      </c>
      <c r="Q107" s="31">
        <v>0.35678397589779631</v>
      </c>
      <c r="R107" s="32">
        <v>-6.7532450417189693E-2</v>
      </c>
    </row>
    <row r="108" spans="1:18" x14ac:dyDescent="0.25">
      <c r="A108" s="30">
        <v>608</v>
      </c>
      <c r="B108" s="31">
        <v>10.38750312902388</v>
      </c>
      <c r="C108" s="31">
        <v>8.2305153045083923</v>
      </c>
      <c r="D108" s="31">
        <v>6.4240715793939627</v>
      </c>
      <c r="E108" s="31">
        <v>4.9403113510614833</v>
      </c>
      <c r="F108" s="31">
        <v>3.750073395052151</v>
      </c>
      <c r="G108" s="31">
        <v>2.822895865067478</v>
      </c>
      <c r="H108" s="31">
        <v>2.127016292969294</v>
      </c>
      <c r="I108" s="31">
        <v>1.629371588779746</v>
      </c>
      <c r="J108" s="31">
        <v>1.2955980406812979</v>
      </c>
      <c r="K108" s="31">
        <v>1.090031315016728</v>
      </c>
      <c r="L108" s="31">
        <v>0.97570645628913044</v>
      </c>
      <c r="M108" s="31">
        <v>0.91435788716190425</v>
      </c>
      <c r="N108" s="31">
        <v>0.86641940845879273</v>
      </c>
      <c r="O108" s="31">
        <v>0.79102419916382538</v>
      </c>
      <c r="P108" s="31">
        <v>0.64600481642137808</v>
      </c>
      <c r="Q108" s="31">
        <v>0.38789319553610291</v>
      </c>
      <c r="R108" s="32">
        <v>-2.8079350026995801E-2</v>
      </c>
    </row>
    <row r="109" spans="1:18" x14ac:dyDescent="0.25">
      <c r="A109" s="30">
        <v>628</v>
      </c>
      <c r="B109" s="31">
        <v>10.69373865725478</v>
      </c>
      <c r="C109" s="31">
        <v>8.4720902207461553</v>
      </c>
      <c r="D109" s="31">
        <v>6.6104049446250261</v>
      </c>
      <c r="E109" s="31">
        <v>5.080182463148085</v>
      </c>
      <c r="F109" s="31">
        <v>3.8516217887323472</v>
      </c>
      <c r="G109" s="31">
        <v>2.8936213119551462</v>
      </c>
      <c r="H109" s="31">
        <v>2.1737788015541319</v>
      </c>
      <c r="I109" s="31">
        <v>1.658391404427265</v>
      </c>
      <c r="J109" s="31">
        <v>1.312455645632828</v>
      </c>
      <c r="K109" s="31">
        <v>1.099667428389419</v>
      </c>
      <c r="L109" s="31">
        <v>0.98242203407594408</v>
      </c>
      <c r="M109" s="31">
        <v>0.92181412223163806</v>
      </c>
      <c r="N109" s="31">
        <v>0.87763773055604943</v>
      </c>
      <c r="O109" s="31">
        <v>0.80838627490902615</v>
      </c>
      <c r="P109" s="31">
        <v>0.67125254931076139</v>
      </c>
      <c r="Q109" s="31">
        <v>0.42212872594173051</v>
      </c>
      <c r="R109" s="32">
        <v>1.5606355142757881E-2</v>
      </c>
    </row>
    <row r="110" spans="1:18" x14ac:dyDescent="0.25">
      <c r="A110" s="30">
        <v>648</v>
      </c>
      <c r="B110" s="31">
        <v>11.00571205162233</v>
      </c>
      <c r="C110" s="31">
        <v>8.7180780459696923</v>
      </c>
      <c r="D110" s="31">
        <v>6.7999910403008128</v>
      </c>
      <c r="E110" s="31">
        <v>5.2223109057482011</v>
      </c>
      <c r="F110" s="31">
        <v>3.9545968916046861</v>
      </c>
      <c r="G110" s="31">
        <v>2.9651076253234279</v>
      </c>
      <c r="H110" s="31">
        <v>2.2208011125178859</v>
      </c>
      <c r="I110" s="31">
        <v>1.687334736961845</v>
      </c>
      <c r="J110" s="31">
        <v>1.329065260589404</v>
      </c>
      <c r="K110" s="31">
        <v>1.1090488234949769</v>
      </c>
      <c r="L110" s="31">
        <v>0.98904094393329545</v>
      </c>
      <c r="M110" s="31">
        <v>0.92949651831941482</v>
      </c>
      <c r="N110" s="31">
        <v>0.88956982122867789</v>
      </c>
      <c r="O110" s="31">
        <v>0.82711450539677855</v>
      </c>
      <c r="P110" s="31">
        <v>0.69868360171971478</v>
      </c>
      <c r="Q110" s="31">
        <v>0.45952951925378288</v>
      </c>
      <c r="R110" s="32">
        <v>6.3604045215630123E-2</v>
      </c>
    </row>
    <row r="111" spans="1:18" x14ac:dyDescent="0.25">
      <c r="A111" s="30">
        <v>668</v>
      </c>
      <c r="B111" s="31">
        <v>11.32283048803294</v>
      </c>
      <c r="C111" s="31">
        <v>8.9679263840698731</v>
      </c>
      <c r="D111" s="31">
        <v>6.9923178982966574</v>
      </c>
      <c r="E111" s="31">
        <v>5.3662251387216342</v>
      </c>
      <c r="F111" s="31">
        <v>4.0585675915134463</v>
      </c>
      <c r="G111" s="31">
        <v>3.0369641210010672</v>
      </c>
      <c r="H111" s="31">
        <v>2.26773296967378</v>
      </c>
      <c r="I111" s="31">
        <v>1.7158917581811799</v>
      </c>
      <c r="J111" s="31">
        <v>1.345157485333196</v>
      </c>
      <c r="K111" s="31">
        <v>1.1179465281000529</v>
      </c>
      <c r="L111" s="31">
        <v>0.99537464161229761</v>
      </c>
      <c r="M111" s="31">
        <v>0.93725695916080287</v>
      </c>
      <c r="N111" s="31">
        <v>0.90210799219674342</v>
      </c>
      <c r="O111" s="31">
        <v>0.84714163033161693</v>
      </c>
      <c r="P111" s="31">
        <v>0.72827114133724913</v>
      </c>
      <c r="Q111" s="31">
        <v>0.50010917114575359</v>
      </c>
      <c r="R111" s="32">
        <v>0.1159677438495841</v>
      </c>
    </row>
    <row r="112" spans="1:18" x14ac:dyDescent="0.25">
      <c r="A112" s="30">
        <v>688</v>
      </c>
      <c r="B112" s="31">
        <v>11.644475785927289</v>
      </c>
      <c r="C112" s="31">
        <v>9.2210574824718616</v>
      </c>
      <c r="D112" s="31">
        <v>7.1868481940222146</v>
      </c>
      <c r="E112" s="31">
        <v>5.5114282654625111</v>
      </c>
      <c r="F112" s="31">
        <v>4.1630774198372231</v>
      </c>
      <c r="G112" s="31">
        <v>3.1087747583511391</v>
      </c>
      <c r="H112" s="31">
        <v>2.314198760369353</v>
      </c>
      <c r="I112" s="31">
        <v>1.7437272834172881</v>
      </c>
      <c r="J112" s="31">
        <v>1.3604375631806851</v>
      </c>
      <c r="K112" s="31">
        <v>1.1261062135055939</v>
      </c>
      <c r="L112" s="31">
        <v>1.0012092263983741</v>
      </c>
      <c r="M112" s="31">
        <v>0.94492197202571837</v>
      </c>
      <c r="N112" s="31">
        <v>0.91511919871461178</v>
      </c>
      <c r="O112" s="31">
        <v>0.86837503295239304</v>
      </c>
      <c r="P112" s="31">
        <v>0.75996297938668167</v>
      </c>
      <c r="Q112" s="31">
        <v>0.54385592082542</v>
      </c>
      <c r="R112" s="32">
        <v>0.17272611823687359</v>
      </c>
    </row>
    <row r="113" spans="1:18" x14ac:dyDescent="0.25">
      <c r="A113" s="30">
        <v>708</v>
      </c>
      <c r="B113" s="31">
        <v>11.970004408280451</v>
      </c>
      <c r="C113" s="31">
        <v>9.4768682321351712</v>
      </c>
      <c r="D113" s="31">
        <v>7.3830192464214628</v>
      </c>
      <c r="E113" s="31">
        <v>5.6573980328992848</v>
      </c>
      <c r="F113" s="31">
        <v>4.2676445514889414</v>
      </c>
      <c r="G113" s="31">
        <v>3.18009814027103</v>
      </c>
      <c r="H113" s="31">
        <v>2.3597975154864712</v>
      </c>
      <c r="I113" s="31">
        <v>1.7704807715365041</v>
      </c>
      <c r="J113" s="31">
        <v>1.3745853809826829</v>
      </c>
      <c r="K113" s="31">
        <v>1.1332481945468791</v>
      </c>
      <c r="L113" s="31">
        <v>1.006305441111272</v>
      </c>
      <c r="M113" s="31">
        <v>0.9522927277183717</v>
      </c>
      <c r="N113" s="31">
        <v>0.92844503957098667</v>
      </c>
      <c r="O113" s="31">
        <v>0.89069674003225474</v>
      </c>
      <c r="P113" s="31">
        <v>0.79368157062563027</v>
      </c>
      <c r="Q113" s="31">
        <v>0.59073265103488204</v>
      </c>
      <c r="R113" s="32">
        <v>0.23388247910407511</v>
      </c>
    </row>
    <row r="114" spans="1:18" x14ac:dyDescent="0.25">
      <c r="A114" s="30">
        <v>728</v>
      </c>
      <c r="B114" s="31">
        <v>12.29874746160178</v>
      </c>
      <c r="C114" s="31">
        <v>9.7347301675536571</v>
      </c>
      <c r="D114" s="31">
        <v>7.5802430179727107</v>
      </c>
      <c r="E114" s="31">
        <v>5.8035868314947434</v>
      </c>
      <c r="F114" s="31">
        <v>4.371761804915856</v>
      </c>
      <c r="G114" s="31">
        <v>3.250467513192477</v>
      </c>
      <c r="H114" s="31">
        <v>2.4041029094413382</v>
      </c>
      <c r="I114" s="31">
        <v>1.7957663249395019</v>
      </c>
      <c r="J114" s="31">
        <v>1.3872554691243451</v>
      </c>
      <c r="K114" s="31">
        <v>1.139067429593537</v>
      </c>
      <c r="L114" s="31">
        <v>1.0103986721050979</v>
      </c>
      <c r="M114" s="31">
        <v>0.95914504057733896</v>
      </c>
      <c r="N114" s="31">
        <v>0.94190175708890322</v>
      </c>
      <c r="O114" s="31">
        <v>0.91396342187874091</v>
      </c>
      <c r="P114" s="31">
        <v>0.82932401334611361</v>
      </c>
      <c r="Q114" s="31">
        <v>0.6406768880506083</v>
      </c>
      <c r="R114" s="32">
        <v>0.29941478071213368</v>
      </c>
    </row>
    <row r="115" spans="1:18" x14ac:dyDescent="0.25">
      <c r="A115" s="30">
        <v>748</v>
      </c>
      <c r="B115" s="31">
        <v>12.63001069593496</v>
      </c>
      <c r="C115" s="31">
        <v>9.9939894667554601</v>
      </c>
      <c r="D115" s="31">
        <v>7.777906114688605</v>
      </c>
      <c r="E115" s="31">
        <v>5.9494216952459906</v>
      </c>
      <c r="F115" s="31">
        <v>4.474896642099556</v>
      </c>
      <c r="G115" s="31">
        <v>3.319390767081535</v>
      </c>
      <c r="H115" s="31">
        <v>2.4466632601844891</v>
      </c>
      <c r="I115" s="31">
        <v>1.819172689561289</v>
      </c>
      <c r="J115" s="31">
        <v>1.398077001525122</v>
      </c>
      <c r="K115" s="31">
        <v>1.143233520549509</v>
      </c>
      <c r="L115" s="31">
        <v>1.0131989492682509</v>
      </c>
      <c r="M115" s="31">
        <v>0.96522936847550411</v>
      </c>
      <c r="N115" s="31">
        <v>0.95528023712571453</v>
      </c>
      <c r="O115" s="31">
        <v>0.9380063923336448</v>
      </c>
      <c r="P115" s="31">
        <v>0.86676204937441537</v>
      </c>
      <c r="Q115" s="31">
        <v>0.69360080168337923</v>
      </c>
      <c r="R115" s="32">
        <v>0.36927562085628912</v>
      </c>
    </row>
    <row r="116" spans="1:18" x14ac:dyDescent="0.25">
      <c r="A116" s="33">
        <v>768</v>
      </c>
      <c r="B116" s="34">
        <v>12.963074504858019</v>
      </c>
      <c r="C116" s="34">
        <v>10.2539669513031</v>
      </c>
      <c r="D116" s="34">
        <v>7.9753697861160946</v>
      </c>
      <c r="E116" s="34">
        <v>6.094304301684466</v>
      </c>
      <c r="F116" s="34">
        <v>4.5764911685559406</v>
      </c>
      <c r="G116" s="34">
        <v>3.3863504354385769</v>
      </c>
      <c r="H116" s="34">
        <v>2.4870015292007581</v>
      </c>
      <c r="I116" s="34">
        <v>1.840263254871175</v>
      </c>
      <c r="J116" s="34">
        <v>1.406653795638833</v>
      </c>
      <c r="K116" s="34">
        <v>1.145390712853056</v>
      </c>
      <c r="L116" s="34">
        <v>1.014390946023485</v>
      </c>
      <c r="M116" s="34">
        <v>0.97027081282007255</v>
      </c>
      <c r="N116" s="34">
        <v>0.96834600907311086</v>
      </c>
      <c r="O116" s="34">
        <v>0.96263160877316545</v>
      </c>
      <c r="P116" s="34">
        <v>0.90584206407114487</v>
      </c>
      <c r="Q116" s="34">
        <v>0.74939120527827363</v>
      </c>
      <c r="R116" s="35">
        <v>0.44339224086609969</v>
      </c>
    </row>
    <row r="119" spans="1:18" ht="28.9" customHeight="1" x14ac:dyDescent="0.5">
      <c r="A119" s="1" t="s">
        <v>32</v>
      </c>
    </row>
    <row r="120" spans="1:18" ht="32.1" customHeight="1" x14ac:dyDescent="0.25"/>
    <row r="121" spans="1:18" x14ac:dyDescent="0.25">
      <c r="A121" s="2"/>
      <c r="B121" s="3"/>
      <c r="C121" s="3"/>
      <c r="D121" s="4"/>
    </row>
    <row r="122" spans="1:18" x14ac:dyDescent="0.25">
      <c r="A122" s="5" t="s">
        <v>33</v>
      </c>
      <c r="B122" s="6">
        <v>1.875</v>
      </c>
      <c r="C122" s="6" t="s">
        <v>13</v>
      </c>
      <c r="D122" s="7"/>
    </row>
    <row r="123" spans="1:18" x14ac:dyDescent="0.25">
      <c r="A123" s="8"/>
      <c r="B123" s="9"/>
      <c r="C123" s="9"/>
      <c r="D123" s="10"/>
    </row>
    <row r="126" spans="1:18" ht="48" customHeight="1" x14ac:dyDescent="0.25">
      <c r="A126" s="21" t="s">
        <v>34</v>
      </c>
      <c r="B126" s="23" t="s">
        <v>35</v>
      </c>
    </row>
    <row r="127" spans="1:18" x14ac:dyDescent="0.25">
      <c r="A127" s="5">
        <v>0</v>
      </c>
      <c r="B127" s="32">
        <v>0.31000000000000011</v>
      </c>
    </row>
    <row r="128" spans="1:18" x14ac:dyDescent="0.25">
      <c r="A128" s="5">
        <v>0.125</v>
      </c>
      <c r="B128" s="32">
        <v>0.33796666666666669</v>
      </c>
    </row>
    <row r="129" spans="1:2" x14ac:dyDescent="0.25">
      <c r="A129" s="5">
        <v>0.25</v>
      </c>
      <c r="B129" s="32">
        <v>0.26827777777777778</v>
      </c>
    </row>
    <row r="130" spans="1:2" x14ac:dyDescent="0.25">
      <c r="A130" s="5">
        <v>0.375</v>
      </c>
      <c r="B130" s="32">
        <v>0.17423250000000001</v>
      </c>
    </row>
    <row r="131" spans="1:2" x14ac:dyDescent="0.25">
      <c r="A131" s="5">
        <v>0.5</v>
      </c>
      <c r="B131" s="32">
        <v>7.6555555555555488E-2</v>
      </c>
    </row>
    <row r="132" spans="1:2" x14ac:dyDescent="0.25">
      <c r="A132" s="5">
        <v>0.625</v>
      </c>
      <c r="B132" s="32">
        <v>0.10305555555555571</v>
      </c>
    </row>
    <row r="133" spans="1:2" x14ac:dyDescent="0.25">
      <c r="A133" s="5">
        <v>0.75</v>
      </c>
      <c r="B133" s="32">
        <v>7.2250000000000147E-2</v>
      </c>
    </row>
    <row r="134" spans="1:2" x14ac:dyDescent="0.25">
      <c r="A134" s="5">
        <v>0.875</v>
      </c>
      <c r="B134" s="32">
        <v>6.0958333333333337E-2</v>
      </c>
    </row>
    <row r="135" spans="1:2" x14ac:dyDescent="0.25">
      <c r="A135" s="5">
        <v>1</v>
      </c>
      <c r="B135" s="32">
        <v>5.4666666666666641E-2</v>
      </c>
    </row>
    <row r="136" spans="1:2" x14ac:dyDescent="0.25">
      <c r="A136" s="5">
        <v>1.125</v>
      </c>
      <c r="B136" s="32">
        <v>2.6432432432432429E-2</v>
      </c>
    </row>
    <row r="137" spans="1:2" x14ac:dyDescent="0.25">
      <c r="A137" s="5">
        <v>1.25</v>
      </c>
      <c r="B137" s="32">
        <v>2.5405405405405149E-2</v>
      </c>
    </row>
    <row r="138" spans="1:2" x14ac:dyDescent="0.25">
      <c r="A138" s="5">
        <v>1.375</v>
      </c>
      <c r="B138" s="32">
        <v>2.0891472868217138E-2</v>
      </c>
    </row>
    <row r="139" spans="1:2" x14ac:dyDescent="0.25">
      <c r="A139" s="5">
        <v>1.5</v>
      </c>
      <c r="B139" s="32">
        <v>1.441860465116274E-2</v>
      </c>
    </row>
    <row r="140" spans="1:2" x14ac:dyDescent="0.25">
      <c r="A140" s="5">
        <v>1.625</v>
      </c>
      <c r="B140" s="32">
        <v>8.4460547504022782E-3</v>
      </c>
    </row>
    <row r="141" spans="1:2" x14ac:dyDescent="0.25">
      <c r="A141" s="5">
        <v>1.75</v>
      </c>
      <c r="B141" s="32">
        <v>6.5539452495972927E-3</v>
      </c>
    </row>
    <row r="142" spans="1:2" x14ac:dyDescent="0.25">
      <c r="A142" s="5">
        <v>1.875</v>
      </c>
      <c r="B142" s="32">
        <v>0</v>
      </c>
    </row>
    <row r="143" spans="1:2" x14ac:dyDescent="0.25">
      <c r="A143" s="5">
        <v>2</v>
      </c>
      <c r="B143" s="32">
        <v>0</v>
      </c>
    </row>
    <row r="144" spans="1:2" x14ac:dyDescent="0.25">
      <c r="A144" s="5">
        <v>2.125</v>
      </c>
      <c r="B144" s="32">
        <v>0</v>
      </c>
    </row>
    <row r="145" spans="1:2" x14ac:dyDescent="0.25">
      <c r="A145" s="5">
        <v>2.25</v>
      </c>
      <c r="B145" s="32">
        <v>0</v>
      </c>
    </row>
    <row r="146" spans="1:2" x14ac:dyDescent="0.25">
      <c r="A146" s="5">
        <v>2.375</v>
      </c>
      <c r="B146" s="32">
        <v>0</v>
      </c>
    </row>
    <row r="147" spans="1:2" x14ac:dyDescent="0.25">
      <c r="A147" s="5">
        <v>2.5</v>
      </c>
      <c r="B147" s="32">
        <v>0</v>
      </c>
    </row>
    <row r="148" spans="1:2" x14ac:dyDescent="0.25">
      <c r="A148" s="5">
        <v>2.625</v>
      </c>
      <c r="B148" s="32">
        <v>0</v>
      </c>
    </row>
    <row r="149" spans="1:2" x14ac:dyDescent="0.25">
      <c r="A149" s="5">
        <v>2.75</v>
      </c>
      <c r="B149" s="32">
        <v>0</v>
      </c>
    </row>
    <row r="150" spans="1:2" x14ac:dyDescent="0.25">
      <c r="A150" s="5">
        <v>2.875</v>
      </c>
      <c r="B150" s="32">
        <v>0</v>
      </c>
    </row>
    <row r="151" spans="1:2" x14ac:dyDescent="0.25">
      <c r="A151" s="5">
        <v>3</v>
      </c>
      <c r="B151" s="32">
        <v>0</v>
      </c>
    </row>
    <row r="152" spans="1:2" x14ac:dyDescent="0.25">
      <c r="A152" s="5">
        <v>3.125</v>
      </c>
      <c r="B152" s="32">
        <v>0</v>
      </c>
    </row>
    <row r="153" spans="1:2" x14ac:dyDescent="0.25">
      <c r="A153" s="5">
        <v>3.25</v>
      </c>
      <c r="B153" s="32">
        <v>0</v>
      </c>
    </row>
    <row r="154" spans="1:2" x14ac:dyDescent="0.25">
      <c r="A154" s="5">
        <v>3.375</v>
      </c>
      <c r="B154" s="32">
        <v>0</v>
      </c>
    </row>
    <row r="155" spans="1:2" x14ac:dyDescent="0.25">
      <c r="A155" s="5">
        <v>3.5</v>
      </c>
      <c r="B155" s="32">
        <v>0</v>
      </c>
    </row>
    <row r="156" spans="1:2" x14ac:dyDescent="0.25">
      <c r="A156" s="5">
        <v>3.625</v>
      </c>
      <c r="B156" s="32">
        <v>0</v>
      </c>
    </row>
    <row r="157" spans="1:2" x14ac:dyDescent="0.25">
      <c r="A157" s="5">
        <v>3.75</v>
      </c>
      <c r="B157" s="32">
        <v>0</v>
      </c>
    </row>
    <row r="158" spans="1:2" x14ac:dyDescent="0.25">
      <c r="A158" s="5">
        <v>3.875</v>
      </c>
      <c r="B158" s="32">
        <v>0</v>
      </c>
    </row>
    <row r="159" spans="1:2" x14ac:dyDescent="0.25">
      <c r="A159" s="8">
        <v>4</v>
      </c>
      <c r="B159" s="35">
        <v>0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AH127"/>
  <sheetViews>
    <sheetView workbookViewId="0">
      <selection activeCell="F9" sqref="F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43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0.42999999999999988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-80</v>
      </c>
      <c r="B42" s="6">
        <v>60.884618776345263</v>
      </c>
      <c r="C42" s="6">
        <f>60.8846187763452 * $B$37 / 100</f>
        <v>60.884618776345199</v>
      </c>
      <c r="D42" s="6">
        <v>7.6713266666666664</v>
      </c>
      <c r="E42" s="7">
        <f>7.67132666666666 * $B$37 / 100</f>
        <v>7.6713266666666611</v>
      </c>
    </row>
    <row r="43" spans="1:5" x14ac:dyDescent="0.25">
      <c r="A43" s="5">
        <v>-70</v>
      </c>
      <c r="B43" s="6">
        <v>61.798100495599577</v>
      </c>
      <c r="C43" s="6">
        <f>61.7981004955995 * $B$37 / 100</f>
        <v>61.798100495599499</v>
      </c>
      <c r="D43" s="6">
        <v>7.7864233333333344</v>
      </c>
      <c r="E43" s="7">
        <f>7.78642333333333 * $B$37 / 100</f>
        <v>7.7864233333333299</v>
      </c>
    </row>
    <row r="44" spans="1:5" x14ac:dyDescent="0.25">
      <c r="A44" s="5">
        <v>-60</v>
      </c>
      <c r="B44" s="6">
        <v>62.711582214853877</v>
      </c>
      <c r="C44" s="6">
        <f>62.7115822148538 * $B$37 / 100</f>
        <v>62.711582214853799</v>
      </c>
      <c r="D44" s="6">
        <v>7.9015200000000014</v>
      </c>
      <c r="E44" s="7">
        <f>7.90152 * $B$37 / 100</f>
        <v>7.9015199999999997</v>
      </c>
    </row>
    <row r="45" spans="1:5" x14ac:dyDescent="0.25">
      <c r="A45" s="5">
        <v>-50</v>
      </c>
      <c r="B45" s="6">
        <v>63.625063934108191</v>
      </c>
      <c r="C45" s="6">
        <f>63.6250639341081 * $B$37 / 100</f>
        <v>63.625063934108105</v>
      </c>
      <c r="D45" s="6">
        <v>8.0166166666666658</v>
      </c>
      <c r="E45" s="7">
        <f>8.01661666666666 * $B$37 / 100</f>
        <v>8.0166166666666605</v>
      </c>
    </row>
    <row r="46" spans="1:5" x14ac:dyDescent="0.25">
      <c r="A46" s="5">
        <v>-40</v>
      </c>
      <c r="B46" s="6">
        <v>64.538545653362505</v>
      </c>
      <c r="C46" s="6">
        <f>64.5385456533625 * $B$37 / 100</f>
        <v>64.538545653362505</v>
      </c>
      <c r="D46" s="6">
        <v>8.1317133333333356</v>
      </c>
      <c r="E46" s="7">
        <f>8.13171333333333 * $B$37 / 100</f>
        <v>8.1317133333333302</v>
      </c>
    </row>
    <row r="47" spans="1:5" x14ac:dyDescent="0.25">
      <c r="A47" s="5">
        <v>-30</v>
      </c>
      <c r="B47" s="6">
        <v>65.452027372616811</v>
      </c>
      <c r="C47" s="6">
        <f>65.4520273726168 * $B$37 / 100</f>
        <v>65.452027372616797</v>
      </c>
      <c r="D47" s="6">
        <v>8.2468100000000018</v>
      </c>
      <c r="E47" s="7">
        <f>8.24681 * $B$37 / 100</f>
        <v>8.24681</v>
      </c>
    </row>
    <row r="48" spans="1:5" x14ac:dyDescent="0.25">
      <c r="A48" s="5">
        <v>-20</v>
      </c>
      <c r="B48" s="6">
        <v>66.365509091871118</v>
      </c>
      <c r="C48" s="6">
        <f>66.3655090918711 * $B$37 / 100</f>
        <v>66.365509091871104</v>
      </c>
      <c r="D48" s="6">
        <v>8.3619066666666679</v>
      </c>
      <c r="E48" s="7">
        <f>8.36190666666666 * $B$37 / 100</f>
        <v>8.3619066666666608</v>
      </c>
    </row>
    <row r="49" spans="1:18" x14ac:dyDescent="0.25">
      <c r="A49" s="5">
        <v>-10</v>
      </c>
      <c r="B49" s="6">
        <v>67.278990811125425</v>
      </c>
      <c r="C49" s="6">
        <f>67.2789908111254 * $B$37 / 100</f>
        <v>67.278990811125396</v>
      </c>
      <c r="D49" s="6">
        <v>8.4770033333333341</v>
      </c>
      <c r="E49" s="7">
        <f>8.47700333333333 * $B$37 / 100</f>
        <v>8.4770033333333306</v>
      </c>
    </row>
    <row r="50" spans="1:18" x14ac:dyDescent="0.25">
      <c r="A50" s="5">
        <v>0</v>
      </c>
      <c r="B50" s="6">
        <v>68.192472530379732</v>
      </c>
      <c r="C50" s="6">
        <f>68.1924725303797 * $B$37 / 100</f>
        <v>68.192472530379703</v>
      </c>
      <c r="D50" s="6">
        <v>8.5921000000000003</v>
      </c>
      <c r="E50" s="7">
        <f>8.5921 * $B$37 / 100</f>
        <v>8.5921000000000003</v>
      </c>
    </row>
    <row r="51" spans="1:18" x14ac:dyDescent="0.25">
      <c r="A51" s="5">
        <v>10</v>
      </c>
      <c r="B51" s="6">
        <v>68.997804194077503</v>
      </c>
      <c r="C51" s="6">
        <f>68.9978041940775 * $B$37 / 100</f>
        <v>68.997804194077503</v>
      </c>
      <c r="D51" s="6">
        <v>8.6935700000000011</v>
      </c>
      <c r="E51" s="7">
        <f>8.69357 * $B$37 / 100</f>
        <v>8.6935699999999994</v>
      </c>
    </row>
    <row r="52" spans="1:18" x14ac:dyDescent="0.25">
      <c r="A52" s="5">
        <v>20</v>
      </c>
      <c r="B52" s="6">
        <v>69.803135857775274</v>
      </c>
      <c r="C52" s="6">
        <f>69.8031358577752 * $B$37 / 100</f>
        <v>69.803135857775203</v>
      </c>
      <c r="D52" s="6">
        <v>8.7950400000000002</v>
      </c>
      <c r="E52" s="7">
        <f>8.79504 * $B$37 / 100</f>
        <v>8.7950400000000002</v>
      </c>
    </row>
    <row r="53" spans="1:18" x14ac:dyDescent="0.25">
      <c r="A53" s="5">
        <v>30</v>
      </c>
      <c r="B53" s="6">
        <v>70.608467521473045</v>
      </c>
      <c r="C53" s="6">
        <f>70.608467521473 * $B$37 / 100</f>
        <v>70.608467521473003</v>
      </c>
      <c r="D53" s="6">
        <v>8.896510000000001</v>
      </c>
      <c r="E53" s="7">
        <f>8.89651 * $B$37 / 100</f>
        <v>8.8965099999999993</v>
      </c>
    </row>
    <row r="54" spans="1:18" x14ac:dyDescent="0.25">
      <c r="A54" s="5">
        <v>40</v>
      </c>
      <c r="B54" s="6">
        <v>71.413799185170816</v>
      </c>
      <c r="C54" s="6">
        <f>71.4137991851708 * $B$37 / 100</f>
        <v>71.413799185170802</v>
      </c>
      <c r="D54" s="6">
        <v>8.9979800000000001</v>
      </c>
      <c r="E54" s="7">
        <f>8.99798 * $B$37 / 100</f>
        <v>8.9979800000000001</v>
      </c>
    </row>
    <row r="55" spans="1:18" x14ac:dyDescent="0.25">
      <c r="A55" s="5">
        <v>50</v>
      </c>
      <c r="B55" s="6">
        <v>72.219130848868588</v>
      </c>
      <c r="C55" s="6">
        <f>72.2191308488685 * $B$37 / 100</f>
        <v>72.219130848868502</v>
      </c>
      <c r="D55" s="6">
        <v>9.0994500000000009</v>
      </c>
      <c r="E55" s="7">
        <f>9.09945 * $B$37 / 100</f>
        <v>9.0994499999999992</v>
      </c>
    </row>
    <row r="56" spans="1:18" x14ac:dyDescent="0.25">
      <c r="A56" s="5">
        <v>60</v>
      </c>
      <c r="B56" s="6">
        <v>73.024462512566373</v>
      </c>
      <c r="C56" s="6">
        <f>73.0244625125663 * $B$37 / 100</f>
        <v>73.024462512566302</v>
      </c>
      <c r="D56" s="6">
        <v>9.2009200000000018</v>
      </c>
      <c r="E56" s="7">
        <f>9.20092 * $B$37 / 100</f>
        <v>9.20092</v>
      </c>
    </row>
    <row r="57" spans="1:18" x14ac:dyDescent="0.25">
      <c r="A57" s="5">
        <v>70</v>
      </c>
      <c r="B57" s="6">
        <v>73.829794176264144</v>
      </c>
      <c r="C57" s="6">
        <f>73.8297941762641 * $B$37 / 100</f>
        <v>73.829794176264102</v>
      </c>
      <c r="D57" s="6">
        <v>9.3023900000000026</v>
      </c>
      <c r="E57" s="7">
        <f>9.30239 * $B$37 / 100</f>
        <v>9.3023900000000008</v>
      </c>
    </row>
    <row r="58" spans="1:18" x14ac:dyDescent="0.25">
      <c r="A58" s="8">
        <v>80</v>
      </c>
      <c r="B58" s="9">
        <v>74.635125839961916</v>
      </c>
      <c r="C58" s="9">
        <f>74.6351258399619 * $B$37 / 100</f>
        <v>74.635125839961901</v>
      </c>
      <c r="D58" s="9">
        <v>9.4038599999999999</v>
      </c>
      <c r="E58" s="10">
        <f>9.40386 * $B$37 / 100</f>
        <v>9.4038599999999999</v>
      </c>
    </row>
    <row r="60" spans="1:18" ht="28.9" customHeight="1" x14ac:dyDescent="0.5">
      <c r="A60" s="1" t="s">
        <v>25</v>
      </c>
      <c r="B60" s="1"/>
    </row>
    <row r="61" spans="1:18" x14ac:dyDescent="0.25">
      <c r="A61" s="21" t="s">
        <v>26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27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28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34" ht="28.9" customHeight="1" x14ac:dyDescent="0.5">
      <c r="A65" s="1" t="s">
        <v>29</v>
      </c>
      <c r="B65" s="1"/>
    </row>
    <row r="66" spans="1:34" x14ac:dyDescent="0.25">
      <c r="A66" s="24" t="s">
        <v>30</v>
      </c>
      <c r="B66" s="25" t="s">
        <v>20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</row>
    <row r="67" spans="1:34" x14ac:dyDescent="0.25">
      <c r="A67" s="27" t="s">
        <v>44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8">
        <v>18</v>
      </c>
      <c r="AD67" s="28">
        <v>18.5</v>
      </c>
      <c r="AE67" s="28">
        <v>19</v>
      </c>
      <c r="AF67" s="28">
        <v>19.5</v>
      </c>
      <c r="AG67" s="28">
        <v>20</v>
      </c>
      <c r="AH67" s="29">
        <v>20.5</v>
      </c>
    </row>
    <row r="68" spans="1:34" x14ac:dyDescent="0.25">
      <c r="A68" s="30">
        <v>-80</v>
      </c>
      <c r="B68" s="31">
        <v>6.1774968747306991</v>
      </c>
      <c r="C68" s="31">
        <v>5.5091133837615542</v>
      </c>
      <c r="D68" s="31">
        <v>4.899045283372538</v>
      </c>
      <c r="E68" s="31">
        <v>4.3450022162922846</v>
      </c>
      <c r="F68" s="31">
        <v>3.8446125363844361</v>
      </c>
      <c r="G68" s="31">
        <v>3.3954233086476608</v>
      </c>
      <c r="H68" s="31">
        <v>2.9949003092156459</v>
      </c>
      <c r="I68" s="31">
        <v>2.6404280253570991</v>
      </c>
      <c r="J68" s="31">
        <v>2.3293096554757411</v>
      </c>
      <c r="K68" s="31">
        <v>2.058767109110327</v>
      </c>
      <c r="L68" s="31">
        <v>1.825941006934614</v>
      </c>
      <c r="M68" s="31">
        <v>1.6278906807573921</v>
      </c>
      <c r="N68" s="31">
        <v>1.46159417352246</v>
      </c>
      <c r="O68" s="31">
        <v>1.3239482393086539</v>
      </c>
      <c r="P68" s="31">
        <v>1.2117683433298141</v>
      </c>
      <c r="Q68" s="31">
        <v>1.1217886619348001</v>
      </c>
      <c r="R68" s="31">
        <v>1.0506620826075019</v>
      </c>
      <c r="S68" s="31">
        <v>0.99496020396681661</v>
      </c>
      <c r="T68" s="31">
        <v>0.95117333576667973</v>
      </c>
      <c r="U68" s="31">
        <v>0.91571049889602085</v>
      </c>
      <c r="V68" s="31">
        <v>0.88489942537881627</v>
      </c>
      <c r="W68" s="31">
        <v>0.85498655837403748</v>
      </c>
      <c r="X68" s="31">
        <v>0.82213705217569477</v>
      </c>
      <c r="Y68" s="31">
        <v>0.7824347722128131</v>
      </c>
      <c r="Z68" s="31">
        <v>0.73188229504942659</v>
      </c>
      <c r="AA68" s="31">
        <v>0.66640090838460064</v>
      </c>
      <c r="AB68" s="31">
        <v>0.58183061105241851</v>
      </c>
      <c r="AC68" s="31">
        <v>0.47393011302198401</v>
      </c>
      <c r="AD68" s="31">
        <v>0.33837683539741192</v>
      </c>
      <c r="AE68" s="31">
        <v>0.1707669104178447</v>
      </c>
      <c r="AF68" s="31">
        <v>-3.3384818542553603E-2</v>
      </c>
      <c r="AG68" s="31">
        <v>-0.27864479697459998</v>
      </c>
      <c r="AH68" s="32">
        <v>-0.56966075923409865</v>
      </c>
    </row>
    <row r="69" spans="1:34" x14ac:dyDescent="0.25">
      <c r="A69" s="30">
        <v>-70</v>
      </c>
      <c r="B69" s="31">
        <v>6.2520625598172446</v>
      </c>
      <c r="C69" s="31">
        <v>5.5739826921996967</v>
      </c>
      <c r="D69" s="31">
        <v>4.9550938469563146</v>
      </c>
      <c r="E69" s="31">
        <v>4.3930656816204712</v>
      </c>
      <c r="F69" s="31">
        <v>3.8854865648605439</v>
      </c>
      <c r="G69" s="31">
        <v>3.429863576479939</v>
      </c>
      <c r="H69" s="31">
        <v>3.023622507417087</v>
      </c>
      <c r="I69" s="31">
        <v>2.664107859745426</v>
      </c>
      <c r="J69" s="31">
        <v>2.3485828466734282</v>
      </c>
      <c r="K69" s="31">
        <v>2.0742293925445718</v>
      </c>
      <c r="L69" s="31">
        <v>1.838148132837365</v>
      </c>
      <c r="M69" s="31">
        <v>1.637358414165331</v>
      </c>
      <c r="N69" s="31">
        <v>1.468798294277013</v>
      </c>
      <c r="O69" s="31">
        <v>1.3293245420559729</v>
      </c>
      <c r="P69" s="31">
        <v>1.2157126375208001</v>
      </c>
      <c r="Q69" s="31">
        <v>1.1246567718250939</v>
      </c>
      <c r="R69" s="31">
        <v>1.0527698472574749</v>
      </c>
      <c r="S69" s="31">
        <v>0.99658347724158991</v>
      </c>
      <c r="T69" s="31">
        <v>0.95254798633610027</v>
      </c>
      <c r="U69" s="31">
        <v>0.91703241023468485</v>
      </c>
      <c r="V69" s="31">
        <v>0.88632449576604999</v>
      </c>
      <c r="W69" s="31">
        <v>0.85663070089391857</v>
      </c>
      <c r="X69" s="31">
        <v>0.82407619471702021</v>
      </c>
      <c r="Y69" s="31">
        <v>0.78470485746913188</v>
      </c>
      <c r="Z69" s="31">
        <v>0.73447928051902522</v>
      </c>
      <c r="AA69" s="31">
        <v>0.66928076637050349</v>
      </c>
      <c r="AB69" s="31">
        <v>0.58490932866239564</v>
      </c>
      <c r="AC69" s="31">
        <v>0.47708369216852198</v>
      </c>
      <c r="AD69" s="31">
        <v>0.34144129279776442</v>
      </c>
      <c r="AE69" s="31">
        <v>0.17353827759397869</v>
      </c>
      <c r="AF69" s="31">
        <v>-3.1150495263914509E-2</v>
      </c>
      <c r="AG69" s="31">
        <v>-0.27723145646200459</v>
      </c>
      <c r="AH69" s="32">
        <v>-0.56939232555135011</v>
      </c>
    </row>
    <row r="70" spans="1:34" x14ac:dyDescent="0.25">
      <c r="A70" s="30">
        <v>-60</v>
      </c>
      <c r="B70" s="31">
        <v>6.3292744112496644</v>
      </c>
      <c r="C70" s="31">
        <v>5.6412623995503353</v>
      </c>
      <c r="D70" s="31">
        <v>5.0133273406823218</v>
      </c>
      <c r="E70" s="31">
        <v>4.4430989069837334</v>
      </c>
      <c r="F70" s="31">
        <v>3.9281254819276872</v>
      </c>
      <c r="G70" s="31">
        <v>3.4658741601223308</v>
      </c>
      <c r="H70" s="31">
        <v>3.053730747310833</v>
      </c>
      <c r="I70" s="31">
        <v>2.688999760371368</v>
      </c>
      <c r="J70" s="31">
        <v>2.3689044273171458</v>
      </c>
      <c r="K70" s="31">
        <v>2.090586687296391</v>
      </c>
      <c r="L70" s="31">
        <v>1.8511071905923411</v>
      </c>
      <c r="M70" s="31">
        <v>1.6474452986232631</v>
      </c>
      <c r="N70" s="31">
        <v>1.476499083942433</v>
      </c>
      <c r="O70" s="31">
        <v>1.3350853302381629</v>
      </c>
      <c r="P70" s="31">
        <v>1.2199395323337701</v>
      </c>
      <c r="Q70" s="31">
        <v>1.127715896187595</v>
      </c>
      <c r="R70" s="31">
        <v>1.0549873388930009</v>
      </c>
      <c r="S70" s="31">
        <v>0.99824548867836682</v>
      </c>
      <c r="T70" s="31">
        <v>0.95390068490709778</v>
      </c>
      <c r="U70" s="31">
        <v>0.91828197807761092</v>
      </c>
      <c r="V70" s="31">
        <v>0.88763712982334952</v>
      </c>
      <c r="W70" s="31">
        <v>0.85813261291277276</v>
      </c>
      <c r="X70" s="31">
        <v>0.82585361124936174</v>
      </c>
      <c r="Y70" s="31">
        <v>0.78680401987160997</v>
      </c>
      <c r="Z70" s="31">
        <v>0.73690644495305013</v>
      </c>
      <c r="AA70" s="31">
        <v>0.67200220380220277</v>
      </c>
      <c r="AB70" s="31">
        <v>0.58785132486264691</v>
      </c>
      <c r="AC70" s="31">
        <v>0.48013254771295538</v>
      </c>
      <c r="AD70" s="31">
        <v>0.34444332306671832</v>
      </c>
      <c r="AE70" s="31">
        <v>0.1762998127725606</v>
      </c>
      <c r="AF70" s="31">
        <v>-2.8863110185876711E-2</v>
      </c>
      <c r="AG70" s="31">
        <v>-0.27569186168994803</v>
      </c>
      <c r="AH70" s="32">
        <v>-0.56891414648595695</v>
      </c>
    </row>
    <row r="71" spans="1:34" x14ac:dyDescent="0.25">
      <c r="A71" s="30">
        <v>-50</v>
      </c>
      <c r="B71" s="31">
        <v>6.4091088715721574</v>
      </c>
      <c r="C71" s="31">
        <v>5.7109314751066904</v>
      </c>
      <c r="D71" s="31">
        <v>5.0737272605928068</v>
      </c>
      <c r="E71" s="31">
        <v>4.4950859151733464</v>
      </c>
      <c r="F71" s="31">
        <v>3.9725158371261782</v>
      </c>
      <c r="G71" s="31">
        <v>3.503444135864175</v>
      </c>
      <c r="H71" s="31">
        <v>3.0852166319352499</v>
      </c>
      <c r="I71" s="31">
        <v>2.715097857022319</v>
      </c>
      <c r="J71" s="31">
        <v>2.3902710539433252</v>
      </c>
      <c r="K71" s="31">
        <v>2.1078381766512351</v>
      </c>
      <c r="L71" s="31">
        <v>1.8648198902340229</v>
      </c>
      <c r="M71" s="31">
        <v>1.658155570914696</v>
      </c>
      <c r="N71" s="31">
        <v>1.484703306051268</v>
      </c>
      <c r="O71" s="31">
        <v>1.3412398941367889</v>
      </c>
      <c r="P71" s="31">
        <v>1.2244608447993199</v>
      </c>
      <c r="Q71" s="31">
        <v>1.1309803788019299</v>
      </c>
      <c r="R71" s="31">
        <v>1.0573314280427299</v>
      </c>
      <c r="S71" s="31">
        <v>0.99996563555483609</v>
      </c>
      <c r="T71" s="31">
        <v>0.95525335550639079</v>
      </c>
      <c r="U71" s="31">
        <v>0.91948365320054537</v>
      </c>
      <c r="V71" s="31">
        <v>0.88886430507548342</v>
      </c>
      <c r="W71" s="31">
        <v>0.85952179870441048</v>
      </c>
      <c r="X71" s="31">
        <v>0.82750133279553939</v>
      </c>
      <c r="Y71" s="31">
        <v>0.78876681719211028</v>
      </c>
      <c r="Z71" s="31">
        <v>0.73920087287237923</v>
      </c>
      <c r="AA71" s="31">
        <v>0.67460483194961718</v>
      </c>
      <c r="AB71" s="31">
        <v>0.59069873767213554</v>
      </c>
      <c r="AC71" s="31">
        <v>0.48312134442325649</v>
      </c>
      <c r="AD71" s="31">
        <v>0.34743011772129317</v>
      </c>
      <c r="AE71" s="31">
        <v>0.17910123421962079</v>
      </c>
      <c r="AF71" s="31">
        <v>-2.6470418293388101E-2</v>
      </c>
      <c r="AG71" s="31">
        <v>-0.27397124089433161</v>
      </c>
      <c r="AH71" s="32">
        <v>-0.56816892352480319</v>
      </c>
    </row>
    <row r="72" spans="1:34" x14ac:dyDescent="0.25">
      <c r="A72" s="30">
        <v>-40</v>
      </c>
      <c r="B72" s="31">
        <v>6.4915407985498099</v>
      </c>
      <c r="C72" s="31">
        <v>5.7829673033828826</v>
      </c>
      <c r="D72" s="31">
        <v>5.1362735179509187</v>
      </c>
      <c r="E72" s="31">
        <v>4.549009144201495</v>
      </c>
      <c r="F72" s="31">
        <v>4.0186425952172211</v>
      </c>
      <c r="G72" s="31">
        <v>3.542560995215712</v>
      </c>
      <c r="H72" s="31">
        <v>3.1180701795496129</v>
      </c>
      <c r="I72" s="31">
        <v>2.7423946947065798</v>
      </c>
      <c r="J72" s="31">
        <v>2.4126777983092969</v>
      </c>
      <c r="K72" s="31">
        <v>2.1259814591154669</v>
      </c>
      <c r="L72" s="31">
        <v>1.8792863570178031</v>
      </c>
      <c r="M72" s="31">
        <v>1.6694918830440539</v>
      </c>
      <c r="N72" s="31">
        <v>1.4934161393569709</v>
      </c>
      <c r="O72" s="31">
        <v>1.3477959392543399</v>
      </c>
      <c r="P72" s="31">
        <v>1.2292868071689591</v>
      </c>
      <c r="Q72" s="31">
        <v>1.1344629786686471</v>
      </c>
      <c r="R72" s="31">
        <v>1.059817400456242</v>
      </c>
      <c r="S72" s="31">
        <v>1.0017617303696009</v>
      </c>
      <c r="T72" s="31">
        <v>0.95662633738160474</v>
      </c>
      <c r="U72" s="31">
        <v>0.92066030160014756</v>
      </c>
      <c r="V72" s="31">
        <v>0.89003141426815024</v>
      </c>
      <c r="W72" s="31">
        <v>0.8608261777635583</v>
      </c>
      <c r="X72" s="31">
        <v>0.82904980559931651</v>
      </c>
      <c r="Y72" s="31">
        <v>0.79062622242340963</v>
      </c>
      <c r="Z72" s="31">
        <v>0.74139806401882935</v>
      </c>
      <c r="AA72" s="31">
        <v>0.67712667730359044</v>
      </c>
      <c r="AB72" s="31">
        <v>0.59349212033073584</v>
      </c>
      <c r="AC72" s="31">
        <v>0.48609316228833083</v>
      </c>
      <c r="AD72" s="31">
        <v>0.35044728349942572</v>
      </c>
      <c r="AE72" s="31">
        <v>0.1819906754221314</v>
      </c>
      <c r="AF72" s="31">
        <v>-2.3921759350428382E-2</v>
      </c>
      <c r="AG72" s="31">
        <v>-0.27201640709012942</v>
      </c>
      <c r="AH72" s="32">
        <v>-0.56710094293382518</v>
      </c>
    </row>
    <row r="73" spans="1:34" x14ac:dyDescent="0.25">
      <c r="A73" s="30">
        <v>-30</v>
      </c>
      <c r="B73" s="31">
        <v>6.5765434651686014</v>
      </c>
      <c r="C73" s="31">
        <v>5.8573456841139224</v>
      </c>
      <c r="D73" s="31">
        <v>5.2009444392406996</v>
      </c>
      <c r="E73" s="31">
        <v>4.6048494473012536</v>
      </c>
      <c r="F73" s="31">
        <v>4.0664891361829234</v>
      </c>
      <c r="G73" s="31">
        <v>3.5832106449080698</v>
      </c>
      <c r="H73" s="31">
        <v>3.1522798236340779</v>
      </c>
      <c r="I73" s="31">
        <v>2.770881233653339</v>
      </c>
      <c r="J73" s="31">
        <v>2.4361181473932758</v>
      </c>
      <c r="K73" s="31">
        <v>2.1450125484163309</v>
      </c>
      <c r="L73" s="31">
        <v>1.894505131419959</v>
      </c>
      <c r="M73" s="31">
        <v>1.681455302236641</v>
      </c>
      <c r="N73" s="31">
        <v>1.5026411778338711</v>
      </c>
      <c r="O73" s="31">
        <v>1.3547595863141719</v>
      </c>
      <c r="P73" s="31">
        <v>1.2344260669150839</v>
      </c>
      <c r="Q73" s="31">
        <v>1.1381748700091601</v>
      </c>
      <c r="R73" s="31">
        <v>1.0624589571039771</v>
      </c>
      <c r="S73" s="31">
        <v>1.0036500008421361</v>
      </c>
      <c r="T73" s="31">
        <v>0.95803838500125249</v>
      </c>
      <c r="U73" s="31">
        <v>0.92183320449395922</v>
      </c>
      <c r="V73" s="31">
        <v>0.89116226536792009</v>
      </c>
      <c r="W73" s="31">
        <v>0.86207208480580833</v>
      </c>
      <c r="X73" s="31">
        <v>0.83052789112531467</v>
      </c>
      <c r="Y73" s="31">
        <v>0.7924136237791648</v>
      </c>
      <c r="Z73" s="31">
        <v>0.74353193335507706</v>
      </c>
      <c r="AA73" s="31">
        <v>0.67960418157582736</v>
      </c>
      <c r="AB73" s="31">
        <v>0.5962704412991906</v>
      </c>
      <c r="AC73" s="31">
        <v>0.48908949651793582</v>
      </c>
      <c r="AD73" s="31">
        <v>0.35353884235990829</v>
      </c>
      <c r="AE73" s="31">
        <v>0.18501468508792129</v>
      </c>
      <c r="AF73" s="31">
        <v>-2.1168057900163139E-2</v>
      </c>
      <c r="AG73" s="31">
        <v>-0.26977575807146431</v>
      </c>
      <c r="AH73" s="32">
        <v>-0.56565607575810073</v>
      </c>
    </row>
    <row r="74" spans="1:34" x14ac:dyDescent="0.25">
      <c r="A74" s="30">
        <v>-20</v>
      </c>
      <c r="B74" s="31">
        <v>6.6640885596354256</v>
      </c>
      <c r="C74" s="31">
        <v>5.9340408322557243</v>
      </c>
      <c r="D74" s="31">
        <v>5.2677167661670907</v>
      </c>
      <c r="E74" s="31">
        <v>4.6625860929265839</v>
      </c>
      <c r="F74" s="31">
        <v>4.1160372552262814</v>
      </c>
      <c r="G74" s="31">
        <v>3.6253774068932798</v>
      </c>
      <c r="H74" s="31">
        <v>3.1878324128897031</v>
      </c>
      <c r="I74" s="31">
        <v>2.8005468493126831</v>
      </c>
      <c r="J74" s="31">
        <v>2.4605840033943802</v>
      </c>
      <c r="K74" s="31">
        <v>2.164925873501975</v>
      </c>
      <c r="L74" s="31">
        <v>1.910473169137662</v>
      </c>
      <c r="M74" s="31">
        <v>1.6940453109386611</v>
      </c>
      <c r="N74" s="31">
        <v>1.5123804306772031</v>
      </c>
      <c r="O74" s="31">
        <v>1.362135371260554</v>
      </c>
      <c r="P74" s="31">
        <v>1.239885686730986</v>
      </c>
      <c r="Q74" s="31">
        <v>1.1421256422657931</v>
      </c>
      <c r="R74" s="31">
        <v>1.0652682141772969</v>
      </c>
      <c r="S74" s="31">
        <v>1.005645089912828</v>
      </c>
      <c r="T74" s="31">
        <v>0.95950666805474671</v>
      </c>
      <c r="U74" s="31">
        <v>0.92302205832041961</v>
      </c>
      <c r="V74" s="31">
        <v>0.89227908156225</v>
      </c>
      <c r="W74" s="31">
        <v>0.86328426976765682</v>
      </c>
      <c r="X74" s="31">
        <v>0.83196286605905889</v>
      </c>
      <c r="Y74" s="31">
        <v>0.79415882469393229</v>
      </c>
      <c r="Z74" s="31">
        <v>0.7456348110647294</v>
      </c>
      <c r="AA74" s="31">
        <v>0.68207220169895599</v>
      </c>
      <c r="AB74" s="31">
        <v>0.59907108425912881</v>
      </c>
      <c r="AC74" s="31">
        <v>0.49215025754277159</v>
      </c>
      <c r="AD74" s="31">
        <v>0.35674723148244603</v>
      </c>
      <c r="AE74" s="31">
        <v>0.18821822714571829</v>
      </c>
      <c r="AF74" s="31">
        <v>-1.8161823264816409E-2</v>
      </c>
      <c r="AG74" s="31">
        <v>-0.26719927641154229</v>
      </c>
      <c r="AH74" s="32">
        <v>-0.56378177782183247</v>
      </c>
    </row>
    <row r="75" spans="1:34" x14ac:dyDescent="0.25">
      <c r="A75" s="30">
        <v>-10</v>
      </c>
      <c r="B75" s="31">
        <v>6.7541461853780422</v>
      </c>
      <c r="C75" s="31">
        <v>6.0130253779850893</v>
      </c>
      <c r="D75" s="31">
        <v>5.3365656556559236</v>
      </c>
      <c r="E75" s="31">
        <v>4.7221967647523524</v>
      </c>
      <c r="F75" s="31">
        <v>4.1672671627711839</v>
      </c>
      <c r="G75" s="31">
        <v>3.6690440183442599</v>
      </c>
      <c r="H75" s="31">
        <v>3.2247132112384391</v>
      </c>
      <c r="I75" s="31">
        <v>2.8313793323555911</v>
      </c>
      <c r="J75" s="31">
        <v>2.4860656837326198</v>
      </c>
      <c r="K75" s="31">
        <v>2.1857142785414401</v>
      </c>
      <c r="L75" s="31">
        <v>1.9271858410889831</v>
      </c>
      <c r="M75" s="31">
        <v>1.7072598068172149</v>
      </c>
      <c r="N75" s="31">
        <v>1.522634322303098</v>
      </c>
      <c r="O75" s="31">
        <v>1.36992624525864</v>
      </c>
      <c r="P75" s="31">
        <v>1.2456711445308519</v>
      </c>
      <c r="Q75" s="31">
        <v>1.146323300101767</v>
      </c>
      <c r="R75" s="31">
        <v>1.068255703088441</v>
      </c>
      <c r="S75" s="31">
        <v>1.007760055742948</v>
      </c>
      <c r="T75" s="31">
        <v>0.96104677145238548</v>
      </c>
      <c r="U75" s="31">
        <v>0.92424497473885969</v>
      </c>
      <c r="V75" s="31">
        <v>0.89340250125951626</v>
      </c>
      <c r="W75" s="31">
        <v>0.86448589780649998</v>
      </c>
      <c r="X75" s="31">
        <v>0.83338042230698306</v>
      </c>
      <c r="Y75" s="31">
        <v>0.7958900438231673</v>
      </c>
      <c r="Z75" s="31">
        <v>0.74773744255225683</v>
      </c>
      <c r="AA75" s="31">
        <v>0.68456400982648624</v>
      </c>
      <c r="AB75" s="31">
        <v>0.60192984811310246</v>
      </c>
      <c r="AC75" s="31">
        <v>0.49531377101440188</v>
      </c>
      <c r="AD75" s="31">
        <v>0.36011330326764229</v>
      </c>
      <c r="AE75" s="31">
        <v>0.1916446807451529</v>
      </c>
      <c r="AF75" s="31">
        <v>-1.4857149545730509E-2</v>
      </c>
      <c r="AG75" s="31">
        <v>-0.26423852946265569</v>
      </c>
      <c r="AH75" s="32">
        <v>-0.56142708972827471</v>
      </c>
    </row>
    <row r="76" spans="1:34" x14ac:dyDescent="0.25">
      <c r="A76" s="30">
        <v>0</v>
      </c>
      <c r="B76" s="31">
        <v>6.8466848610451336</v>
      </c>
      <c r="C76" s="31">
        <v>6.0942703666997193</v>
      </c>
      <c r="D76" s="31">
        <v>5.4074646798539376</v>
      </c>
      <c r="E76" s="31">
        <v>4.7836575616743229</v>
      </c>
      <c r="F76" s="31">
        <v>4.2201574844624332</v>
      </c>
      <c r="G76" s="31">
        <v>3.714191631654836</v>
      </c>
      <c r="H76" s="31">
        <v>3.2629058978231389</v>
      </c>
      <c r="I76" s="31">
        <v>2.863364888673948</v>
      </c>
      <c r="J76" s="31">
        <v>2.5125519210489058</v>
      </c>
      <c r="K76" s="31">
        <v>2.2073690229246639</v>
      </c>
      <c r="L76" s="31">
        <v>1.944636933412897</v>
      </c>
      <c r="M76" s="31">
        <v>1.721095102760301</v>
      </c>
      <c r="N76" s="31">
        <v>1.533401692348586</v>
      </c>
      <c r="O76" s="31">
        <v>1.3781335746944929</v>
      </c>
      <c r="P76" s="31">
        <v>1.251786333449773</v>
      </c>
      <c r="Q76" s="31">
        <v>1.150774263401199</v>
      </c>
      <c r="R76" s="31">
        <v>1.0714303704705661</v>
      </c>
      <c r="S76" s="31">
        <v>1.0100063717146821</v>
      </c>
      <c r="T76" s="31">
        <v>0.96267269532538657</v>
      </c>
      <c r="U76" s="31">
        <v>0.92551848062952558</v>
      </c>
      <c r="V76" s="31">
        <v>0.89455157808898156</v>
      </c>
      <c r="W76" s="31">
        <v>0.86569854930063517</v>
      </c>
      <c r="X76" s="31">
        <v>0.83480466699640865</v>
      </c>
      <c r="Y76" s="31">
        <v>0.79763391504322645</v>
      </c>
      <c r="Z76" s="31">
        <v>0.74986898844304073</v>
      </c>
      <c r="AA76" s="31">
        <v>0.68711129333282661</v>
      </c>
      <c r="AB76" s="31">
        <v>0.6048809469845714</v>
      </c>
      <c r="AC76" s="31">
        <v>0.49861677780529062</v>
      </c>
      <c r="AD76" s="31">
        <v>0.36367632533700711</v>
      </c>
      <c r="AE76" s="31">
        <v>0.1953358402567745</v>
      </c>
      <c r="AF76" s="31">
        <v>-1.120971562333483E-2</v>
      </c>
      <c r="AG76" s="31">
        <v>-0.26084666935622641</v>
      </c>
      <c r="AH76" s="32">
        <v>-0.55854263685980676</v>
      </c>
    </row>
    <row r="77" spans="1:34" x14ac:dyDescent="0.25">
      <c r="A77" s="30">
        <v>10</v>
      </c>
      <c r="B77" s="31">
        <v>6.9416715205062616</v>
      </c>
      <c r="C77" s="31">
        <v>6.1777452590182147</v>
      </c>
      <c r="D77" s="31">
        <v>5.4803858261287486</v>
      </c>
      <c r="E77" s="31">
        <v>4.8469429978091458</v>
      </c>
      <c r="F77" s="31">
        <v>4.2746852611656987</v>
      </c>
      <c r="G77" s="31">
        <v>3.760799814439717</v>
      </c>
      <c r="H77" s="31">
        <v>3.3023925670075411</v>
      </c>
      <c r="I77" s="31">
        <v>2.896488139380522</v>
      </c>
      <c r="J77" s="31">
        <v>2.5400298632050351</v>
      </c>
      <c r="K77" s="31">
        <v>2.2298797812624751</v>
      </c>
      <c r="L77" s="31">
        <v>1.9628186474692531</v>
      </c>
      <c r="M77" s="31">
        <v>1.735545926876807</v>
      </c>
      <c r="N77" s="31">
        <v>1.5446797956715821</v>
      </c>
      <c r="O77" s="31">
        <v>1.386757141175057</v>
      </c>
      <c r="P77" s="31">
        <v>1.258233561843725</v>
      </c>
      <c r="Q77" s="31">
        <v>1.1554833672690901</v>
      </c>
      <c r="R77" s="31">
        <v>1.074799578177698</v>
      </c>
      <c r="S77" s="31">
        <v>1.0123939264310871</v>
      </c>
      <c r="T77" s="31">
        <v>0.96439685502583883</v>
      </c>
      <c r="U77" s="31">
        <v>0.92685751809353756</v>
      </c>
      <c r="V77" s="31">
        <v>0.89574378090079565</v>
      </c>
      <c r="W77" s="31">
        <v>0.86694221984924691</v>
      </c>
      <c r="X77" s="31">
        <v>0.83625812247553721</v>
      </c>
      <c r="Y77" s="31">
        <v>0.79941548745135016</v>
      </c>
      <c r="Z77" s="31">
        <v>0.75205702458336021</v>
      </c>
      <c r="AA77" s="31">
        <v>0.689744154813278</v>
      </c>
      <c r="AB77" s="31">
        <v>0.60795701021784432</v>
      </c>
      <c r="AC77" s="31">
        <v>0.50209443400880172</v>
      </c>
      <c r="AD77" s="31">
        <v>0.3674739805329193</v>
      </c>
      <c r="AE77" s="31">
        <v>0.1993319152719871</v>
      </c>
      <c r="AF77" s="31">
        <v>-7.1767851571840017E-3</v>
      </c>
      <c r="AG77" s="31">
        <v>-0.25697843300277162</v>
      </c>
      <c r="AH77" s="32">
        <v>-0.55508062937793501</v>
      </c>
    </row>
    <row r="78" spans="1:34" x14ac:dyDescent="0.25">
      <c r="A78" s="30">
        <v>20</v>
      </c>
      <c r="B78" s="31">
        <v>7.0390715128518888</v>
      </c>
      <c r="C78" s="31">
        <v>6.2634179307800606</v>
      </c>
      <c r="D78" s="31">
        <v>5.55529949706888</v>
      </c>
      <c r="E78" s="31">
        <v>4.9120260024943718</v>
      </c>
      <c r="F78" s="31">
        <v>4.3308259489675649</v>
      </c>
      <c r="G78" s="31">
        <v>3.8088465495345112</v>
      </c>
      <c r="H78" s="31">
        <v>3.343153728376286</v>
      </c>
      <c r="I78" s="31">
        <v>2.9307321208089818</v>
      </c>
      <c r="J78" s="31">
        <v>2.5684850732837101</v>
      </c>
      <c r="K78" s="31">
        <v>2.2532346433866048</v>
      </c>
      <c r="L78" s="31">
        <v>1.9817215998388169</v>
      </c>
      <c r="M78" s="31">
        <v>1.75060542249652</v>
      </c>
      <c r="N78" s="31">
        <v>1.5564643023509011</v>
      </c>
      <c r="O78" s="31">
        <v>1.395795141528178</v>
      </c>
      <c r="P78" s="31">
        <v>1.265013553289575</v>
      </c>
      <c r="Q78" s="31">
        <v>1.1604538620313529</v>
      </c>
      <c r="R78" s="31">
        <v>1.078369103284774</v>
      </c>
      <c r="S78" s="31">
        <v>1.014931023716128</v>
      </c>
      <c r="T78" s="31">
        <v>0.96623008112673381</v>
      </c>
      <c r="U78" s="31">
        <v>0.92827544445291221</v>
      </c>
      <c r="V78" s="31">
        <v>0.89699499376601155</v>
      </c>
      <c r="W78" s="31">
        <v>0.86823532027241657</v>
      </c>
      <c r="X78" s="31">
        <v>0.83776172631349621</v>
      </c>
      <c r="Y78" s="31">
        <v>0.80125822536567681</v>
      </c>
      <c r="Z78" s="31">
        <v>0.75432754204037877</v>
      </c>
      <c r="AA78" s="31">
        <v>0.6924911120840419</v>
      </c>
      <c r="AB78" s="31">
        <v>0.61118908237815806</v>
      </c>
      <c r="AC78" s="31">
        <v>0.50578031093919573</v>
      </c>
      <c r="AD78" s="31">
        <v>0.37154236691866949</v>
      </c>
      <c r="AE78" s="31">
        <v>0.203671530603101</v>
      </c>
      <c r="AF78" s="31">
        <v>-2.7172065859585922E-3</v>
      </c>
      <c r="AG78" s="31">
        <v>-0.25259014209193248</v>
      </c>
      <c r="AH78" s="32">
        <v>-0.55099486222325045</v>
      </c>
    </row>
    <row r="79" spans="1:34" x14ac:dyDescent="0.25">
      <c r="A79" s="30">
        <v>30</v>
      </c>
      <c r="B79" s="31">
        <v>7.1388486023933773</v>
      </c>
      <c r="C79" s="31">
        <v>6.3512546730456494</v>
      </c>
      <c r="D79" s="31">
        <v>5.6321745104837513</v>
      </c>
      <c r="E79" s="31">
        <v>4.9788779202884514</v>
      </c>
      <c r="F79" s="31">
        <v>4.3885534191755147</v>
      </c>
      <c r="G79" s="31">
        <v>3.8583082349957278</v>
      </c>
      <c r="H79" s="31">
        <v>3.3851683067349132</v>
      </c>
      <c r="I79" s="31">
        <v>2.9660782845138942</v>
      </c>
      <c r="J79" s="31">
        <v>2.5979015295885231</v>
      </c>
      <c r="K79" s="31">
        <v>2.2774201143496762</v>
      </c>
      <c r="L79" s="31">
        <v>2.001334822323237</v>
      </c>
      <c r="M79" s="31">
        <v>1.766265148170123</v>
      </c>
      <c r="N79" s="31">
        <v>1.568749297686258</v>
      </c>
      <c r="O79" s="31">
        <v>1.405244187802595</v>
      </c>
      <c r="P79" s="31">
        <v>1.272125446585108</v>
      </c>
      <c r="Q79" s="31">
        <v>1.165687413234779</v>
      </c>
      <c r="R79" s="31">
        <v>1.082143138087625</v>
      </c>
      <c r="S79" s="31">
        <v>1.0176243826146689</v>
      </c>
      <c r="T79" s="31">
        <v>0.96818161942196546</v>
      </c>
      <c r="U79" s="31">
        <v>0.92978403225056783</v>
      </c>
      <c r="V79" s="31">
        <v>0.89831951597658166</v>
      </c>
      <c r="W79" s="31">
        <v>0.86959467661111378</v>
      </c>
      <c r="X79" s="31">
        <v>0.83933483130028363</v>
      </c>
      <c r="Y79" s="31">
        <v>0.80318400832524994</v>
      </c>
      <c r="Z79" s="31">
        <v>0.75670494710216496</v>
      </c>
      <c r="AA79" s="31">
        <v>0.69537909818222599</v>
      </c>
      <c r="AB79" s="31">
        <v>0.61460662325163284</v>
      </c>
      <c r="AC79" s="31">
        <v>0.50970639513163007</v>
      </c>
      <c r="AD79" s="31">
        <v>0.37591599777843138</v>
      </c>
      <c r="AE79" s="31">
        <v>0.20839172628333649</v>
      </c>
      <c r="AF79" s="31">
        <v>2.20858687262031E-3</v>
      </c>
      <c r="AG79" s="31">
        <v>-0.24763970309241759</v>
      </c>
      <c r="AH79" s="32">
        <v>-0.54624071511546124</v>
      </c>
    </row>
    <row r="80" spans="1:34" x14ac:dyDescent="0.25">
      <c r="A80" s="30">
        <v>40</v>
      </c>
      <c r="B80" s="31">
        <v>7.2409649686629729</v>
      </c>
      <c r="C80" s="31">
        <v>6.4412201920962557</v>
      </c>
      <c r="D80" s="31">
        <v>5.7109780994036718</v>
      </c>
      <c r="E80" s="31">
        <v>5.0474685109707176</v>
      </c>
      <c r="F80" s="31">
        <v>4.4478399583179087</v>
      </c>
      <c r="G80" s="31">
        <v>3.9091596841007639</v>
      </c>
      <c r="H80" s="31">
        <v>3.4284136421098448</v>
      </c>
      <c r="I80" s="31">
        <v>3.0025064972707129</v>
      </c>
      <c r="J80" s="31">
        <v>2.628261625643963</v>
      </c>
      <c r="K80" s="31">
        <v>2.3024211144252029</v>
      </c>
      <c r="L80" s="31">
        <v>2.021645761945063</v>
      </c>
      <c r="M80" s="31">
        <v>1.7825150776691929</v>
      </c>
      <c r="N80" s="31">
        <v>1.5815272821982569</v>
      </c>
      <c r="O80" s="31">
        <v>1.415099307267951</v>
      </c>
      <c r="P80" s="31">
        <v>1.279566795748982</v>
      </c>
      <c r="Q80" s="31">
        <v>1.171184101647073</v>
      </c>
      <c r="R80" s="31">
        <v>1.0861242901029751</v>
      </c>
      <c r="S80" s="31">
        <v>1.020479137392458</v>
      </c>
      <c r="T80" s="31">
        <v>0.97025913092630456</v>
      </c>
      <c r="U80" s="31">
        <v>0.93139346925032784</v>
      </c>
      <c r="V80" s="31">
        <v>0.89973006204534967</v>
      </c>
      <c r="W80" s="31">
        <v>0.87103553012721713</v>
      </c>
      <c r="X80" s="31">
        <v>0.84099520544680328</v>
      </c>
      <c r="Y80" s="31">
        <v>0.80521313108998882</v>
      </c>
      <c r="Z80" s="31">
        <v>0.75921206127767782</v>
      </c>
      <c r="AA80" s="31">
        <v>0.6984334613658022</v>
      </c>
      <c r="AB80" s="31">
        <v>0.61823750784529974</v>
      </c>
      <c r="AC80" s="31">
        <v>0.51390308834214338</v>
      </c>
      <c r="AD80" s="31">
        <v>0.38062780161731169</v>
      </c>
      <c r="AE80" s="31">
        <v>0.21352795756681969</v>
      </c>
      <c r="AF80" s="31">
        <v>7.6385772216776716E-3</v>
      </c>
      <c r="AG80" s="31">
        <v>-0.24208660725205891</v>
      </c>
      <c r="AH80" s="32">
        <v>-0.54077515255333541</v>
      </c>
    </row>
    <row r="81" spans="1:34" x14ac:dyDescent="0.25">
      <c r="A81" s="30">
        <v>50</v>
      </c>
      <c r="B81" s="31">
        <v>7.3453812064138306</v>
      </c>
      <c r="C81" s="31">
        <v>6.533277609434065</v>
      </c>
      <c r="D81" s="31">
        <v>5.7916759120798558</v>
      </c>
      <c r="E81" s="31">
        <v>5.1177659495414227</v>
      </c>
      <c r="F81" s="31">
        <v>4.5086562681440236</v>
      </c>
      <c r="G81" s="31">
        <v>3.9613741253479242</v>
      </c>
      <c r="H81" s="31">
        <v>3.472865489748417</v>
      </c>
      <c r="I81" s="31">
        <v>3.039995041075803</v>
      </c>
      <c r="J81" s="31">
        <v>2.6595461701954171</v>
      </c>
      <c r="K81" s="31">
        <v>2.3282209791076101</v>
      </c>
      <c r="L81" s="31">
        <v>2.0426402809477429</v>
      </c>
      <c r="M81" s="31">
        <v>1.7993435999862091</v>
      </c>
      <c r="N81" s="31">
        <v>1.5947891716284099</v>
      </c>
      <c r="O81" s="31">
        <v>1.425353942414779</v>
      </c>
      <c r="P81" s="31">
        <v>1.287333570020762</v>
      </c>
      <c r="Q81" s="31">
        <v>1.176942423256822</v>
      </c>
      <c r="R81" s="31">
        <v>1.0903135820684511</v>
      </c>
      <c r="S81" s="31">
        <v>1.023498837536152</v>
      </c>
      <c r="T81" s="31">
        <v>0.97246869187545637</v>
      </c>
      <c r="U81" s="31">
        <v>0.9331123584368981</v>
      </c>
      <c r="V81" s="31">
        <v>0.90123776170605285</v>
      </c>
      <c r="W81" s="31">
        <v>0.87257153730350434</v>
      </c>
      <c r="X81" s="31">
        <v>0.84275903198485569</v>
      </c>
      <c r="Y81" s="31">
        <v>0.80736430364073897</v>
      </c>
      <c r="Z81" s="31">
        <v>0.76187012129678233</v>
      </c>
      <c r="AA81" s="31">
        <v>0.70167796511366565</v>
      </c>
      <c r="AB81" s="31">
        <v>0.62210802638707385</v>
      </c>
      <c r="AC81" s="31">
        <v>0.51839920754769697</v>
      </c>
      <c r="AD81" s="31">
        <v>0.38570912216127512</v>
      </c>
      <c r="AE81" s="31">
        <v>0.21911409492854439</v>
      </c>
      <c r="AF81" s="31">
        <v>1.3609161685253401E-2</v>
      </c>
      <c r="AG81" s="31">
        <v>-0.23589193059778779</v>
      </c>
      <c r="AH81" s="32">
        <v>-0.5345567238147968</v>
      </c>
    </row>
    <row r="82" spans="1:34" x14ac:dyDescent="0.25">
      <c r="A82" s="30">
        <v>60</v>
      </c>
      <c r="B82" s="31">
        <v>7.4520563256199894</v>
      </c>
      <c r="C82" s="31">
        <v>6.6273884617821501</v>
      </c>
      <c r="D82" s="31">
        <v>5.8742320119843896</v>
      </c>
      <c r="E82" s="31">
        <v>5.1897368262216848</v>
      </c>
      <c r="F82" s="31">
        <v>4.5709714656240132</v>
      </c>
      <c r="G82" s="31">
        <v>4.0149232024563863</v>
      </c>
      <c r="H82" s="31">
        <v>3.5184980201188361</v>
      </c>
      <c r="I82" s="31">
        <v>3.078520613146404</v>
      </c>
      <c r="J82" s="31">
        <v>2.6917343872091619</v>
      </c>
      <c r="K82" s="31">
        <v>2.3548014591121942</v>
      </c>
      <c r="L82" s="31">
        <v>2.0643026567956069</v>
      </c>
      <c r="M82" s="31">
        <v>1.816737519334529</v>
      </c>
      <c r="N82" s="31">
        <v>1.6085242969391</v>
      </c>
      <c r="O82" s="31">
        <v>1.435999950954497</v>
      </c>
      <c r="P82" s="31">
        <v>1.295420153860898</v>
      </c>
      <c r="Q82" s="31">
        <v>1.182959289273511</v>
      </c>
      <c r="R82" s="31">
        <v>1.0947104519425599</v>
      </c>
      <c r="S82" s="31">
        <v>1.0266854477532921</v>
      </c>
      <c r="T82" s="31">
        <v>0.97481479372597024</v>
      </c>
      <c r="U82" s="31">
        <v>0.93494771801587839</v>
      </c>
      <c r="V82" s="31">
        <v>0.90285215991331969</v>
      </c>
      <c r="W82" s="31">
        <v>0.87421476984362578</v>
      </c>
      <c r="X82" s="31">
        <v>0.84464090936712488</v>
      </c>
      <c r="Y82" s="31">
        <v>0.80965465117920155</v>
      </c>
      <c r="Z82" s="31">
        <v>0.76469877911022421</v>
      </c>
      <c r="AA82" s="31">
        <v>0.70513478812560126</v>
      </c>
      <c r="AB82" s="31">
        <v>0.6262428843257527</v>
      </c>
      <c r="AC82" s="31">
        <v>0.52322198494612404</v>
      </c>
      <c r="AD82" s="31">
        <v>0.39118971835717348</v>
      </c>
      <c r="AE82" s="31">
        <v>0.22518242406438749</v>
      </c>
      <c r="AF82" s="31">
        <v>2.0155152708263801E-2</v>
      </c>
      <c r="AG82" s="31">
        <v>-0.22901833393567719</v>
      </c>
      <c r="AH82" s="32">
        <v>-0.52754556295688282</v>
      </c>
    </row>
    <row r="83" spans="1:34" x14ac:dyDescent="0.25">
      <c r="A83" s="30">
        <v>70</v>
      </c>
      <c r="B83" s="31">
        <v>7.5609477514763901</v>
      </c>
      <c r="C83" s="31">
        <v>6.7235127010844762</v>
      </c>
      <c r="D83" s="31">
        <v>5.9586088778102884</v>
      </c>
      <c r="E83" s="31">
        <v>5.2633461464535323</v>
      </c>
      <c r="F83" s="31">
        <v>4.6347530829489383</v>
      </c>
      <c r="G83" s="31">
        <v>4.0697769743662464</v>
      </c>
      <c r="H83" s="31">
        <v>3.5652838189102289</v>
      </c>
      <c r="I83" s="31">
        <v>3.1180583259206691</v>
      </c>
      <c r="J83" s="31">
        <v>2.7248039158723709</v>
      </c>
      <c r="K83" s="31">
        <v>2.3821427203751662</v>
      </c>
      <c r="L83" s="31">
        <v>2.086615582173891</v>
      </c>
      <c r="M83" s="31">
        <v>1.834682055148422</v>
      </c>
      <c r="N83" s="31">
        <v>1.622720404313631</v>
      </c>
      <c r="O83" s="31">
        <v>1.4470276058194349</v>
      </c>
      <c r="P83" s="31">
        <v>1.30381934695075</v>
      </c>
      <c r="Q83" s="31">
        <v>1.189230026127521</v>
      </c>
      <c r="R83" s="31">
        <v>1.0993127529047191</v>
      </c>
      <c r="S83" s="31">
        <v>1.030039347972318</v>
      </c>
      <c r="T83" s="31">
        <v>0.97730034315532965</v>
      </c>
      <c r="U83" s="31">
        <v>0.93690498141376732</v>
      </c>
      <c r="V83" s="31">
        <v>0.90458121684268755</v>
      </c>
      <c r="W83" s="31">
        <v>0.87597571467213531</v>
      </c>
      <c r="X83" s="31">
        <v>0.84665385126721027</v>
      </c>
      <c r="Y83" s="31">
        <v>0.81209971412800996</v>
      </c>
      <c r="Z83" s="31">
        <v>0.76771610188965034</v>
      </c>
      <c r="AA83" s="31">
        <v>0.70882452432227616</v>
      </c>
      <c r="AB83" s="31">
        <v>0.63066520233104562</v>
      </c>
      <c r="AC83" s="31">
        <v>0.52839706795615615</v>
      </c>
      <c r="AD83" s="31">
        <v>0.39709776437278071</v>
      </c>
      <c r="AE83" s="31">
        <v>0.2317636458911583</v>
      </c>
      <c r="AF83" s="31">
        <v>2.73097779565399E-2</v>
      </c>
      <c r="AG83" s="31">
        <v>-0.22143006285083541</v>
      </c>
      <c r="AH83" s="32">
        <v>-0.51970338881567979</v>
      </c>
    </row>
    <row r="84" spans="1:34" x14ac:dyDescent="0.25">
      <c r="A84" s="33">
        <v>80</v>
      </c>
      <c r="B84" s="34">
        <v>7.6720113243988663</v>
      </c>
      <c r="C84" s="34">
        <v>6.8216086945059153</v>
      </c>
      <c r="D84" s="34">
        <v>6.0447674034714414</v>
      </c>
      <c r="E84" s="34">
        <v>5.3385573308998966</v>
      </c>
      <c r="F84" s="34">
        <v>4.6999670675307552</v>
      </c>
      <c r="G84" s="34">
        <v>4.1259039152384869</v>
      </c>
      <c r="H84" s="34">
        <v>3.6131938870326081</v>
      </c>
      <c r="I84" s="34">
        <v>3.1585817070576381</v>
      </c>
      <c r="J84" s="34">
        <v>2.7587308105931219</v>
      </c>
      <c r="K84" s="34">
        <v>2.4102233440536258</v>
      </c>
      <c r="L84" s="34">
        <v>2.1095601649887339</v>
      </c>
      <c r="M84" s="34">
        <v>1.853160842083049</v>
      </c>
      <c r="N84" s="34">
        <v>1.6373636551561901</v>
      </c>
      <c r="O84" s="34">
        <v>1.4584255951628109</v>
      </c>
      <c r="P84" s="34">
        <v>1.312522364192561</v>
      </c>
      <c r="Q84" s="34">
        <v>1.195748375470135</v>
      </c>
      <c r="R84" s="34">
        <v>1.1041167533552321</v>
      </c>
      <c r="S84" s="34">
        <v>1.0335593333425721</v>
      </c>
      <c r="T84" s="34">
        <v>0.97992666206190138</v>
      </c>
      <c r="U84" s="34">
        <v>0.938987997277969</v>
      </c>
      <c r="V84" s="34">
        <v>0.90643130789057247</v>
      </c>
      <c r="W84" s="34">
        <v>0.87786327393450714</v>
      </c>
      <c r="X84" s="34">
        <v>0.84880928657959043</v>
      </c>
      <c r="Y84" s="34">
        <v>0.8147134481306697</v>
      </c>
      <c r="Z84" s="34">
        <v>0.77093857202760141</v>
      </c>
      <c r="AA84" s="34">
        <v>0.71276618284526649</v>
      </c>
      <c r="AB84" s="34">
        <v>0.63539651629357241</v>
      </c>
      <c r="AC84" s="34">
        <v>0.5339485192174217</v>
      </c>
      <c r="AD84" s="34">
        <v>0.40345984959677128</v>
      </c>
      <c r="AE84" s="34">
        <v>0.23888687654656779</v>
      </c>
      <c r="AF84" s="34">
        <v>3.5104680316799843E-2</v>
      </c>
      <c r="AG84" s="34">
        <v>-0.21309294770753701</v>
      </c>
      <c r="AH84" s="35">
        <v>-0.51099350500642693</v>
      </c>
    </row>
    <row r="87" spans="1:34" ht="28.9" customHeight="1" x14ac:dyDescent="0.5">
      <c r="A87" s="1" t="s">
        <v>32</v>
      </c>
    </row>
    <row r="88" spans="1:34" ht="32.1" customHeight="1" x14ac:dyDescent="0.25"/>
    <row r="89" spans="1:34" x14ac:dyDescent="0.25">
      <c r="A89" s="2"/>
      <c r="B89" s="3"/>
      <c r="C89" s="3"/>
      <c r="D89" s="4"/>
    </row>
    <row r="90" spans="1:34" x14ac:dyDescent="0.25">
      <c r="A90" s="5" t="s">
        <v>33</v>
      </c>
      <c r="B90" s="6">
        <v>1.875</v>
      </c>
      <c r="C90" s="6" t="s">
        <v>13</v>
      </c>
      <c r="D90" s="7"/>
    </row>
    <row r="91" spans="1:34" x14ac:dyDescent="0.25">
      <c r="A91" s="8"/>
      <c r="B91" s="9"/>
      <c r="C91" s="9"/>
      <c r="D91" s="10"/>
    </row>
    <row r="94" spans="1:34" ht="48" customHeight="1" x14ac:dyDescent="0.25">
      <c r="A94" s="21" t="s">
        <v>34</v>
      </c>
      <c r="B94" s="23" t="s">
        <v>35</v>
      </c>
    </row>
    <row r="95" spans="1:34" x14ac:dyDescent="0.25">
      <c r="A95" s="5">
        <v>0</v>
      </c>
      <c r="B95" s="32">
        <v>0.31000000000000011</v>
      </c>
    </row>
    <row r="96" spans="1:34" x14ac:dyDescent="0.25">
      <c r="A96" s="5">
        <v>0.125</v>
      </c>
      <c r="B96" s="32">
        <v>0.33796666666666669</v>
      </c>
    </row>
    <row r="97" spans="1:2" x14ac:dyDescent="0.25">
      <c r="A97" s="5">
        <v>0.25</v>
      </c>
      <c r="B97" s="32">
        <v>0.26827777777777778</v>
      </c>
    </row>
    <row r="98" spans="1:2" x14ac:dyDescent="0.25">
      <c r="A98" s="5">
        <v>0.375</v>
      </c>
      <c r="B98" s="32">
        <v>0.17423250000000001</v>
      </c>
    </row>
    <row r="99" spans="1:2" x14ac:dyDescent="0.25">
      <c r="A99" s="5">
        <v>0.5</v>
      </c>
      <c r="B99" s="32">
        <v>7.6555555555555488E-2</v>
      </c>
    </row>
    <row r="100" spans="1:2" x14ac:dyDescent="0.25">
      <c r="A100" s="5">
        <v>0.625</v>
      </c>
      <c r="B100" s="32">
        <v>0.10305555555555571</v>
      </c>
    </row>
    <row r="101" spans="1:2" x14ac:dyDescent="0.25">
      <c r="A101" s="5">
        <v>0.75</v>
      </c>
      <c r="B101" s="32">
        <v>7.2250000000000147E-2</v>
      </c>
    </row>
    <row r="102" spans="1:2" x14ac:dyDescent="0.25">
      <c r="A102" s="5">
        <v>0.875</v>
      </c>
      <c r="B102" s="32">
        <v>6.0958333333333337E-2</v>
      </c>
    </row>
    <row r="103" spans="1:2" x14ac:dyDescent="0.25">
      <c r="A103" s="5">
        <v>1</v>
      </c>
      <c r="B103" s="32">
        <v>5.4666666666666641E-2</v>
      </c>
    </row>
    <row r="104" spans="1:2" x14ac:dyDescent="0.25">
      <c r="A104" s="5">
        <v>1.125</v>
      </c>
      <c r="B104" s="32">
        <v>2.6432432432432429E-2</v>
      </c>
    </row>
    <row r="105" spans="1:2" x14ac:dyDescent="0.25">
      <c r="A105" s="5">
        <v>1.25</v>
      </c>
      <c r="B105" s="32">
        <v>2.5405405405405149E-2</v>
      </c>
    </row>
    <row r="106" spans="1:2" x14ac:dyDescent="0.25">
      <c r="A106" s="5">
        <v>1.375</v>
      </c>
      <c r="B106" s="32">
        <v>2.0891472868217138E-2</v>
      </c>
    </row>
    <row r="107" spans="1:2" x14ac:dyDescent="0.25">
      <c r="A107" s="5">
        <v>1.5</v>
      </c>
      <c r="B107" s="32">
        <v>1.441860465116274E-2</v>
      </c>
    </row>
    <row r="108" spans="1:2" x14ac:dyDescent="0.25">
      <c r="A108" s="5">
        <v>1.625</v>
      </c>
      <c r="B108" s="32">
        <v>8.4460547504022782E-3</v>
      </c>
    </row>
    <row r="109" spans="1:2" x14ac:dyDescent="0.25">
      <c r="A109" s="5">
        <v>1.75</v>
      </c>
      <c r="B109" s="32">
        <v>6.5539452495972927E-3</v>
      </c>
    </row>
    <row r="110" spans="1:2" x14ac:dyDescent="0.25">
      <c r="A110" s="5">
        <v>1.875</v>
      </c>
      <c r="B110" s="32">
        <v>0</v>
      </c>
    </row>
    <row r="111" spans="1:2" x14ac:dyDescent="0.25">
      <c r="A111" s="5">
        <v>2</v>
      </c>
      <c r="B111" s="32">
        <v>0</v>
      </c>
    </row>
    <row r="112" spans="1:2" x14ac:dyDescent="0.25">
      <c r="A112" s="5">
        <v>2.125</v>
      </c>
      <c r="B112" s="32">
        <v>0</v>
      </c>
    </row>
    <row r="113" spans="1:2" x14ac:dyDescent="0.25">
      <c r="A113" s="5">
        <v>2.25</v>
      </c>
      <c r="B113" s="32">
        <v>0</v>
      </c>
    </row>
    <row r="114" spans="1:2" x14ac:dyDescent="0.25">
      <c r="A114" s="5">
        <v>2.375</v>
      </c>
      <c r="B114" s="32">
        <v>0</v>
      </c>
    </row>
    <row r="115" spans="1:2" x14ac:dyDescent="0.25">
      <c r="A115" s="5">
        <v>2.5</v>
      </c>
      <c r="B115" s="32">
        <v>0</v>
      </c>
    </row>
    <row r="116" spans="1:2" x14ac:dyDescent="0.25">
      <c r="A116" s="5">
        <v>2.625</v>
      </c>
      <c r="B116" s="32">
        <v>0</v>
      </c>
    </row>
    <row r="117" spans="1:2" x14ac:dyDescent="0.25">
      <c r="A117" s="5">
        <v>2.75</v>
      </c>
      <c r="B117" s="32">
        <v>0</v>
      </c>
    </row>
    <row r="118" spans="1:2" x14ac:dyDescent="0.25">
      <c r="A118" s="5">
        <v>2.875</v>
      </c>
      <c r="B118" s="32">
        <v>0</v>
      </c>
    </row>
    <row r="119" spans="1:2" x14ac:dyDescent="0.25">
      <c r="A119" s="5">
        <v>3</v>
      </c>
      <c r="B119" s="32">
        <v>0</v>
      </c>
    </row>
    <row r="120" spans="1:2" x14ac:dyDescent="0.25">
      <c r="A120" s="5">
        <v>3.125</v>
      </c>
      <c r="B120" s="32">
        <v>0</v>
      </c>
    </row>
    <row r="121" spans="1:2" x14ac:dyDescent="0.25">
      <c r="A121" s="5">
        <v>3.25</v>
      </c>
      <c r="B121" s="32">
        <v>0</v>
      </c>
    </row>
    <row r="122" spans="1:2" x14ac:dyDescent="0.25">
      <c r="A122" s="5">
        <v>3.375</v>
      </c>
      <c r="B122" s="32">
        <v>0</v>
      </c>
    </row>
    <row r="123" spans="1:2" x14ac:dyDescent="0.25">
      <c r="A123" s="5">
        <v>3.5</v>
      </c>
      <c r="B123" s="32">
        <v>0</v>
      </c>
    </row>
    <row r="124" spans="1:2" x14ac:dyDescent="0.25">
      <c r="A124" s="5">
        <v>3.625</v>
      </c>
      <c r="B124" s="32">
        <v>0</v>
      </c>
    </row>
    <row r="125" spans="1:2" x14ac:dyDescent="0.25">
      <c r="A125" s="5">
        <v>3.75</v>
      </c>
      <c r="B125" s="32">
        <v>0</v>
      </c>
    </row>
    <row r="126" spans="1:2" x14ac:dyDescent="0.25">
      <c r="A126" s="5">
        <v>3.875</v>
      </c>
      <c r="B126" s="32">
        <v>0</v>
      </c>
    </row>
    <row r="127" spans="1:2" x14ac:dyDescent="0.25">
      <c r="A127" s="8">
        <v>4</v>
      </c>
      <c r="B127" s="35">
        <v>0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2023-01-25T00:19:19Z</dcterms:created>
  <dcterms:modified xsi:type="dcterms:W3CDTF">2023-01-25T00:26:43Z</dcterms:modified>
</cp:coreProperties>
</file>