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L:\8- Product Managers\Injectors Online\Tuning Data Locked\HP730S\"/>
    </mc:Choice>
  </mc:AlternateContent>
  <xr:revisionPtr revIDLastSave="0" documentId="13_ncr:1_{26493C38-DBAD-466E-8037-9D4F3F9D1D1C}" xr6:coauthVersionLast="47" xr6:coauthVersionMax="47" xr10:uidLastSave="{00000000-0000-0000-0000-000000000000}"/>
  <bookViews>
    <workbookView xWindow="38280" yWindow="-120" windowWidth="38640" windowHeight="21240" activeTab="7" xr2:uid="{00000000-000D-0000-FFFF-FFFF00000000}"/>
  </bookViews>
  <sheets>
    <sheet name="P01, 0411, P59" sheetId="1" r:id="rId1"/>
    <sheet name="E40" sheetId="2" r:id="rId2"/>
    <sheet name="P04" sheetId="3" r:id="rId3"/>
    <sheet name="P05" sheetId="4" r:id="rId4"/>
    <sheet name="P12" sheetId="5" r:id="rId5"/>
    <sheet name="E37, E38 (&lt;2009)" sheetId="6" r:id="rId6"/>
    <sheet name="E38 (2009+), E67, E78" sheetId="7" r:id="rId7"/>
    <sheet name="Generic" sheetId="8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62" i="8" l="1"/>
  <c r="Q62" i="8"/>
  <c r="P62" i="8"/>
  <c r="O62" i="8"/>
  <c r="N62" i="8"/>
  <c r="M62" i="8"/>
  <c r="L62" i="8"/>
  <c r="K62" i="8"/>
  <c r="J62" i="8"/>
  <c r="I62" i="8"/>
  <c r="H62" i="8"/>
  <c r="G62" i="8"/>
  <c r="F62" i="8"/>
  <c r="E62" i="8"/>
  <c r="D62" i="8"/>
  <c r="C62" i="8"/>
  <c r="B62" i="8"/>
  <c r="R61" i="8"/>
  <c r="Q61" i="8"/>
  <c r="P61" i="8"/>
  <c r="O61" i="8"/>
  <c r="N61" i="8"/>
  <c r="M61" i="8"/>
  <c r="L61" i="8"/>
  <c r="K61" i="8"/>
  <c r="J61" i="8"/>
  <c r="I61" i="8"/>
  <c r="H61" i="8"/>
  <c r="G61" i="8"/>
  <c r="F61" i="8"/>
  <c r="E61" i="8"/>
  <c r="D61" i="8"/>
  <c r="C61" i="8"/>
  <c r="B61" i="8"/>
  <c r="E57" i="8"/>
  <c r="C57" i="8"/>
  <c r="E56" i="8"/>
  <c r="C56" i="8"/>
  <c r="E55" i="8"/>
  <c r="C55" i="8"/>
  <c r="E54" i="8"/>
  <c r="C54" i="8"/>
  <c r="E53" i="8"/>
  <c r="C53" i="8"/>
  <c r="E52" i="8"/>
  <c r="C52" i="8"/>
  <c r="E51" i="8"/>
  <c r="C51" i="8"/>
  <c r="E50" i="8"/>
  <c r="C50" i="8"/>
  <c r="E49" i="8"/>
  <c r="C49" i="8"/>
  <c r="E48" i="8"/>
  <c r="C48" i="8"/>
  <c r="E47" i="8"/>
  <c r="C47" i="8"/>
  <c r="E46" i="8"/>
  <c r="C46" i="8"/>
  <c r="E45" i="8"/>
  <c r="C45" i="8"/>
  <c r="E44" i="8"/>
  <c r="C44" i="8"/>
  <c r="E43" i="8"/>
  <c r="C43" i="8"/>
  <c r="E42" i="8"/>
  <c r="C42" i="8"/>
  <c r="E41" i="8"/>
  <c r="C41" i="8"/>
  <c r="R78" i="7"/>
  <c r="Q78" i="7"/>
  <c r="P78" i="7"/>
  <c r="O78" i="7"/>
  <c r="N78" i="7"/>
  <c r="M78" i="7"/>
  <c r="L78" i="7"/>
  <c r="K78" i="7"/>
  <c r="J78" i="7"/>
  <c r="I78" i="7"/>
  <c r="H78" i="7"/>
  <c r="G78" i="7"/>
  <c r="F78" i="7"/>
  <c r="E78" i="7"/>
  <c r="D78" i="7"/>
  <c r="C78" i="7"/>
  <c r="B78" i="7"/>
  <c r="R77" i="7"/>
  <c r="Q77" i="7"/>
  <c r="P77" i="7"/>
  <c r="O77" i="7"/>
  <c r="N77" i="7"/>
  <c r="M77" i="7"/>
  <c r="L77" i="7"/>
  <c r="K77" i="7"/>
  <c r="J77" i="7"/>
  <c r="I77" i="7"/>
  <c r="H77" i="7"/>
  <c r="G77" i="7"/>
  <c r="F77" i="7"/>
  <c r="E77" i="7"/>
  <c r="D77" i="7"/>
  <c r="C77" i="7"/>
  <c r="B77" i="7"/>
  <c r="E73" i="7"/>
  <c r="C73" i="7"/>
  <c r="E72" i="7"/>
  <c r="C72" i="7"/>
  <c r="E71" i="7"/>
  <c r="C71" i="7"/>
  <c r="E70" i="7"/>
  <c r="C70" i="7"/>
  <c r="E69" i="7"/>
  <c r="C69" i="7"/>
  <c r="E68" i="7"/>
  <c r="C68" i="7"/>
  <c r="E67" i="7"/>
  <c r="C67" i="7"/>
  <c r="E66" i="7"/>
  <c r="C66" i="7"/>
  <c r="E65" i="7"/>
  <c r="C65" i="7"/>
  <c r="E64" i="7"/>
  <c r="C64" i="7"/>
  <c r="E63" i="7"/>
  <c r="C63" i="7"/>
  <c r="E62" i="7"/>
  <c r="C62" i="7"/>
  <c r="E61" i="7"/>
  <c r="C61" i="7"/>
  <c r="E60" i="7"/>
  <c r="C60" i="7"/>
  <c r="E59" i="7"/>
  <c r="C59" i="7"/>
  <c r="E58" i="7"/>
  <c r="C58" i="7"/>
  <c r="E57" i="7"/>
  <c r="C57" i="7"/>
  <c r="E56" i="7"/>
  <c r="C56" i="7"/>
  <c r="E55" i="7"/>
  <c r="C55" i="7"/>
  <c r="E54" i="7"/>
  <c r="C54" i="7"/>
  <c r="E53" i="7"/>
  <c r="C53" i="7"/>
  <c r="E52" i="7"/>
  <c r="C52" i="7"/>
  <c r="E51" i="7"/>
  <c r="C51" i="7"/>
  <c r="E50" i="7"/>
  <c r="C50" i="7"/>
  <c r="E49" i="7"/>
  <c r="C49" i="7"/>
  <c r="E48" i="7"/>
  <c r="C48" i="7"/>
  <c r="E47" i="7"/>
  <c r="C47" i="7"/>
  <c r="E46" i="7"/>
  <c r="C46" i="7"/>
  <c r="E45" i="7"/>
  <c r="C45" i="7"/>
  <c r="E44" i="7"/>
  <c r="C44" i="7"/>
  <c r="E43" i="7"/>
  <c r="C43" i="7"/>
  <c r="E42" i="7"/>
  <c r="C42" i="7"/>
  <c r="E41" i="7"/>
  <c r="C41" i="7"/>
  <c r="R78" i="6"/>
  <c r="Q78" i="6"/>
  <c r="P78" i="6"/>
  <c r="O78" i="6"/>
  <c r="N78" i="6"/>
  <c r="M78" i="6"/>
  <c r="L78" i="6"/>
  <c r="K78" i="6"/>
  <c r="J78" i="6"/>
  <c r="I78" i="6"/>
  <c r="H78" i="6"/>
  <c r="G78" i="6"/>
  <c r="F78" i="6"/>
  <c r="E78" i="6"/>
  <c r="D78" i="6"/>
  <c r="C78" i="6"/>
  <c r="B78" i="6"/>
  <c r="R77" i="6"/>
  <c r="Q77" i="6"/>
  <c r="P77" i="6"/>
  <c r="O77" i="6"/>
  <c r="N77" i="6"/>
  <c r="M77" i="6"/>
  <c r="L77" i="6"/>
  <c r="K77" i="6"/>
  <c r="J77" i="6"/>
  <c r="I77" i="6"/>
  <c r="H77" i="6"/>
  <c r="G77" i="6"/>
  <c r="F77" i="6"/>
  <c r="E77" i="6"/>
  <c r="D77" i="6"/>
  <c r="C77" i="6"/>
  <c r="B77" i="6"/>
  <c r="E73" i="6"/>
  <c r="C73" i="6"/>
  <c r="E72" i="6"/>
  <c r="C72" i="6"/>
  <c r="E71" i="6"/>
  <c r="C71" i="6"/>
  <c r="E70" i="6"/>
  <c r="C70" i="6"/>
  <c r="E69" i="6"/>
  <c r="C69" i="6"/>
  <c r="E68" i="6"/>
  <c r="C68" i="6"/>
  <c r="E67" i="6"/>
  <c r="C67" i="6"/>
  <c r="E66" i="6"/>
  <c r="C66" i="6"/>
  <c r="E65" i="6"/>
  <c r="C65" i="6"/>
  <c r="E64" i="6"/>
  <c r="C64" i="6"/>
  <c r="E63" i="6"/>
  <c r="C63" i="6"/>
  <c r="E62" i="6"/>
  <c r="C62" i="6"/>
  <c r="E61" i="6"/>
  <c r="C61" i="6"/>
  <c r="E60" i="6"/>
  <c r="C60" i="6"/>
  <c r="E59" i="6"/>
  <c r="C59" i="6"/>
  <c r="E58" i="6"/>
  <c r="C58" i="6"/>
  <c r="E57" i="6"/>
  <c r="C57" i="6"/>
  <c r="E56" i="6"/>
  <c r="C56" i="6"/>
  <c r="E55" i="6"/>
  <c r="C55" i="6"/>
  <c r="E54" i="6"/>
  <c r="C54" i="6"/>
  <c r="E53" i="6"/>
  <c r="C53" i="6"/>
  <c r="E52" i="6"/>
  <c r="C52" i="6"/>
  <c r="E51" i="6"/>
  <c r="C51" i="6"/>
  <c r="E50" i="6"/>
  <c r="C50" i="6"/>
  <c r="E49" i="6"/>
  <c r="C49" i="6"/>
  <c r="E48" i="6"/>
  <c r="C48" i="6"/>
  <c r="E47" i="6"/>
  <c r="C47" i="6"/>
  <c r="E46" i="6"/>
  <c r="C46" i="6"/>
  <c r="E45" i="6"/>
  <c r="C45" i="6"/>
  <c r="E44" i="6"/>
  <c r="C44" i="6"/>
  <c r="E43" i="6"/>
  <c r="C43" i="6"/>
  <c r="E42" i="6"/>
  <c r="C42" i="6"/>
  <c r="E41" i="6"/>
  <c r="C41" i="6"/>
  <c r="R78" i="5"/>
  <c r="Q78" i="5"/>
  <c r="P78" i="5"/>
  <c r="O78" i="5"/>
  <c r="N78" i="5"/>
  <c r="M78" i="5"/>
  <c r="L78" i="5"/>
  <c r="K78" i="5"/>
  <c r="J78" i="5"/>
  <c r="I78" i="5"/>
  <c r="H78" i="5"/>
  <c r="G78" i="5"/>
  <c r="F78" i="5"/>
  <c r="E78" i="5"/>
  <c r="D78" i="5"/>
  <c r="C78" i="5"/>
  <c r="B78" i="5"/>
  <c r="R77" i="5"/>
  <c r="Q77" i="5"/>
  <c r="P77" i="5"/>
  <c r="O77" i="5"/>
  <c r="N77" i="5"/>
  <c r="M77" i="5"/>
  <c r="L77" i="5"/>
  <c r="K77" i="5"/>
  <c r="J77" i="5"/>
  <c r="I77" i="5"/>
  <c r="H77" i="5"/>
  <c r="G77" i="5"/>
  <c r="F77" i="5"/>
  <c r="E77" i="5"/>
  <c r="D77" i="5"/>
  <c r="C77" i="5"/>
  <c r="B77" i="5"/>
  <c r="E73" i="5"/>
  <c r="C73" i="5"/>
  <c r="E72" i="5"/>
  <c r="C72" i="5"/>
  <c r="E71" i="5"/>
  <c r="C71" i="5"/>
  <c r="E70" i="5"/>
  <c r="C70" i="5"/>
  <c r="E69" i="5"/>
  <c r="C69" i="5"/>
  <c r="E68" i="5"/>
  <c r="C68" i="5"/>
  <c r="E67" i="5"/>
  <c r="C67" i="5"/>
  <c r="E66" i="5"/>
  <c r="C66" i="5"/>
  <c r="E65" i="5"/>
  <c r="C65" i="5"/>
  <c r="E64" i="5"/>
  <c r="C64" i="5"/>
  <c r="E63" i="5"/>
  <c r="C63" i="5"/>
  <c r="E62" i="5"/>
  <c r="C62" i="5"/>
  <c r="E61" i="5"/>
  <c r="C61" i="5"/>
  <c r="E60" i="5"/>
  <c r="C60" i="5"/>
  <c r="E59" i="5"/>
  <c r="C59" i="5"/>
  <c r="E58" i="5"/>
  <c r="C58" i="5"/>
  <c r="E57" i="5"/>
  <c r="C57" i="5"/>
  <c r="E56" i="5"/>
  <c r="C56" i="5"/>
  <c r="E55" i="5"/>
  <c r="C55" i="5"/>
  <c r="E54" i="5"/>
  <c r="C54" i="5"/>
  <c r="E53" i="5"/>
  <c r="C53" i="5"/>
  <c r="E52" i="5"/>
  <c r="C52" i="5"/>
  <c r="E51" i="5"/>
  <c r="C51" i="5"/>
  <c r="E50" i="5"/>
  <c r="C50" i="5"/>
  <c r="E49" i="5"/>
  <c r="C49" i="5"/>
  <c r="E48" i="5"/>
  <c r="C48" i="5"/>
  <c r="E47" i="5"/>
  <c r="C47" i="5"/>
  <c r="E46" i="5"/>
  <c r="C46" i="5"/>
  <c r="E45" i="5"/>
  <c r="C45" i="5"/>
  <c r="E44" i="5"/>
  <c r="C44" i="5"/>
  <c r="E43" i="5"/>
  <c r="C43" i="5"/>
  <c r="E42" i="5"/>
  <c r="C42" i="5"/>
  <c r="E41" i="5"/>
  <c r="C41" i="5"/>
  <c r="R61" i="4"/>
  <c r="Q61" i="4"/>
  <c r="P61" i="4"/>
  <c r="O61" i="4"/>
  <c r="N61" i="4"/>
  <c r="M61" i="4"/>
  <c r="L61" i="4"/>
  <c r="K61" i="4"/>
  <c r="J61" i="4"/>
  <c r="I61" i="4"/>
  <c r="H61" i="4"/>
  <c r="G61" i="4"/>
  <c r="F61" i="4"/>
  <c r="E61" i="4"/>
  <c r="D61" i="4"/>
  <c r="C61" i="4"/>
  <c r="B61" i="4"/>
  <c r="R60" i="4"/>
  <c r="Q60" i="4"/>
  <c r="P60" i="4"/>
  <c r="O60" i="4"/>
  <c r="N60" i="4"/>
  <c r="M60" i="4"/>
  <c r="L60" i="4"/>
  <c r="K60" i="4"/>
  <c r="J60" i="4"/>
  <c r="I60" i="4"/>
  <c r="H60" i="4"/>
  <c r="G60" i="4"/>
  <c r="F60" i="4"/>
  <c r="E60" i="4"/>
  <c r="D60" i="4"/>
  <c r="C60" i="4"/>
  <c r="B60" i="4"/>
  <c r="E56" i="4"/>
  <c r="C56" i="4"/>
  <c r="E55" i="4"/>
  <c r="C55" i="4"/>
  <c r="E54" i="4"/>
  <c r="C54" i="4"/>
  <c r="E53" i="4"/>
  <c r="C53" i="4"/>
  <c r="E52" i="4"/>
  <c r="C52" i="4"/>
  <c r="E51" i="4"/>
  <c r="C51" i="4"/>
  <c r="E50" i="4"/>
  <c r="C50" i="4"/>
  <c r="E49" i="4"/>
  <c r="C49" i="4"/>
  <c r="E48" i="4"/>
  <c r="C48" i="4"/>
  <c r="E47" i="4"/>
  <c r="C47" i="4"/>
  <c r="E46" i="4"/>
  <c r="C46" i="4"/>
  <c r="E45" i="4"/>
  <c r="C45" i="4"/>
  <c r="E44" i="4"/>
  <c r="C44" i="4"/>
  <c r="E43" i="4"/>
  <c r="C43" i="4"/>
  <c r="E42" i="4"/>
  <c r="C42" i="4"/>
  <c r="E41" i="4"/>
  <c r="C41" i="4"/>
  <c r="R56" i="3"/>
  <c r="Q56" i="3"/>
  <c r="P56" i="3"/>
  <c r="O56" i="3"/>
  <c r="N56" i="3"/>
  <c r="M56" i="3"/>
  <c r="L56" i="3"/>
  <c r="K56" i="3"/>
  <c r="J56" i="3"/>
  <c r="I56" i="3"/>
  <c r="H56" i="3"/>
  <c r="G56" i="3"/>
  <c r="F56" i="3"/>
  <c r="E56" i="3"/>
  <c r="D56" i="3"/>
  <c r="C56" i="3"/>
  <c r="B56" i="3"/>
  <c r="R55" i="3"/>
  <c r="Q55" i="3"/>
  <c r="P55" i="3"/>
  <c r="O55" i="3"/>
  <c r="N55" i="3"/>
  <c r="M55" i="3"/>
  <c r="L55" i="3"/>
  <c r="K55" i="3"/>
  <c r="J55" i="3"/>
  <c r="I55" i="3"/>
  <c r="H55" i="3"/>
  <c r="G55" i="3"/>
  <c r="F55" i="3"/>
  <c r="E55" i="3"/>
  <c r="D55" i="3"/>
  <c r="C55" i="3"/>
  <c r="B55" i="3"/>
  <c r="E51" i="3"/>
  <c r="C51" i="3"/>
  <c r="E50" i="3"/>
  <c r="C50" i="3"/>
  <c r="E49" i="3"/>
  <c r="C49" i="3"/>
  <c r="E48" i="3"/>
  <c r="C48" i="3"/>
  <c r="E47" i="3"/>
  <c r="C47" i="3"/>
  <c r="E46" i="3"/>
  <c r="C46" i="3"/>
  <c r="E45" i="3"/>
  <c r="C45" i="3"/>
  <c r="E44" i="3"/>
  <c r="C44" i="3"/>
  <c r="E43" i="3"/>
  <c r="C43" i="3"/>
  <c r="E42" i="3"/>
  <c r="C42" i="3"/>
  <c r="E41" i="3"/>
  <c r="C41" i="3"/>
  <c r="R62" i="2"/>
  <c r="Q62" i="2"/>
  <c r="P62" i="2"/>
  <c r="O62" i="2"/>
  <c r="N62" i="2"/>
  <c r="M62" i="2"/>
  <c r="L62" i="2"/>
  <c r="K62" i="2"/>
  <c r="J62" i="2"/>
  <c r="I62" i="2"/>
  <c r="H62" i="2"/>
  <c r="G62" i="2"/>
  <c r="F62" i="2"/>
  <c r="E62" i="2"/>
  <c r="D62" i="2"/>
  <c r="C62" i="2"/>
  <c r="B62" i="2"/>
  <c r="R61" i="2"/>
  <c r="Q61" i="2"/>
  <c r="P61" i="2"/>
  <c r="O61" i="2"/>
  <c r="N61" i="2"/>
  <c r="M61" i="2"/>
  <c r="L61" i="2"/>
  <c r="K61" i="2"/>
  <c r="J61" i="2"/>
  <c r="I61" i="2"/>
  <c r="H61" i="2"/>
  <c r="G61" i="2"/>
  <c r="F61" i="2"/>
  <c r="E61" i="2"/>
  <c r="D61" i="2"/>
  <c r="C61" i="2"/>
  <c r="B61" i="2"/>
  <c r="E57" i="2"/>
  <c r="C57" i="2"/>
  <c r="E56" i="2"/>
  <c r="C56" i="2"/>
  <c r="E55" i="2"/>
  <c r="C55" i="2"/>
  <c r="E54" i="2"/>
  <c r="C54" i="2"/>
  <c r="E53" i="2"/>
  <c r="C53" i="2"/>
  <c r="E52" i="2"/>
  <c r="C52" i="2"/>
  <c r="E51" i="2"/>
  <c r="C51" i="2"/>
  <c r="E50" i="2"/>
  <c r="C50" i="2"/>
  <c r="E49" i="2"/>
  <c r="C49" i="2"/>
  <c r="E48" i="2"/>
  <c r="C48" i="2"/>
  <c r="E47" i="2"/>
  <c r="C47" i="2"/>
  <c r="E46" i="2"/>
  <c r="C46" i="2"/>
  <c r="E45" i="2"/>
  <c r="C45" i="2"/>
  <c r="E44" i="2"/>
  <c r="C44" i="2"/>
  <c r="E43" i="2"/>
  <c r="C43" i="2"/>
  <c r="E42" i="2"/>
  <c r="C42" i="2"/>
  <c r="E41" i="2"/>
  <c r="C41" i="2"/>
  <c r="R62" i="1"/>
  <c r="Q62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C62" i="1"/>
  <c r="B62" i="1"/>
  <c r="R61" i="1"/>
  <c r="Q61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C61" i="1"/>
  <c r="B61" i="1"/>
  <c r="E57" i="1"/>
  <c r="C57" i="1"/>
  <c r="E56" i="1"/>
  <c r="C56" i="1"/>
  <c r="E55" i="1"/>
  <c r="C55" i="1"/>
  <c r="E54" i="1"/>
  <c r="C54" i="1"/>
  <c r="E53" i="1"/>
  <c r="C53" i="1"/>
  <c r="E52" i="1"/>
  <c r="C52" i="1"/>
  <c r="E51" i="1"/>
  <c r="C51" i="1"/>
  <c r="E50" i="1"/>
  <c r="C50" i="1"/>
  <c r="E49" i="1"/>
  <c r="C49" i="1"/>
  <c r="E48" i="1"/>
  <c r="C48" i="1"/>
  <c r="E47" i="1"/>
  <c r="C47" i="1"/>
  <c r="E46" i="1"/>
  <c r="C46" i="1"/>
  <c r="E45" i="1"/>
  <c r="C45" i="1"/>
  <c r="E44" i="1"/>
  <c r="C44" i="1"/>
  <c r="E43" i="1"/>
  <c r="C43" i="1"/>
  <c r="E42" i="1"/>
  <c r="C42" i="1"/>
  <c r="E41" i="1"/>
  <c r="C41" i="1"/>
</calcChain>
</file>

<file path=xl/sharedStrings.xml><?xml version="1.0" encoding="utf-8"?>
<sst xmlns="http://schemas.openxmlformats.org/spreadsheetml/2006/main" count="294" uniqueCount="44">
  <si>
    <t>P01, 0411, P59</t>
  </si>
  <si>
    <t>Injector Type:</t>
  </si>
  <si>
    <t>Matched Set:</t>
  </si>
  <si>
    <t>None selected</t>
  </si>
  <si>
    <t>Report Date:</t>
  </si>
  <si>
    <t>20/05/2022</t>
  </si>
  <si>
    <t>Reference Pressure (gauge):</t>
  </si>
  <si>
    <t>kPa</t>
  </si>
  <si>
    <t>Reference Voltage (gauge):</t>
  </si>
  <si>
    <t>V</t>
  </si>
  <si>
    <t>Minimum Pulse Width:</t>
  </si>
  <si>
    <t>ms</t>
  </si>
  <si>
    <t>Static Flow</t>
  </si>
  <si>
    <t>Scaling</t>
  </si>
  <si>
    <t>%</t>
  </si>
  <si>
    <t>Edit to update</t>
  </si>
  <si>
    <t>Stoich (Petrol)</t>
  </si>
  <si>
    <t>Stoich (Ethanol)</t>
  </si>
  <si>
    <t>Manifold Vacuum [kPa]</t>
  </si>
  <si>
    <t>Flow [lb/h]</t>
  </si>
  <si>
    <t>Flow (Scaled) [lb/h]</t>
  </si>
  <si>
    <t>Flow [g/s]</t>
  </si>
  <si>
    <t>Flow (Scaled) [g/s]</t>
  </si>
  <si>
    <t>Air Fuel Ratio</t>
  </si>
  <si>
    <t>Ethonol Percentage [%]</t>
  </si>
  <si>
    <t>Stoich</t>
  </si>
  <si>
    <t>Stoich  (Scaled)</t>
  </si>
  <si>
    <t>Battery Offsets</t>
  </si>
  <si>
    <t>Table data (Offset) [ms]</t>
  </si>
  <si>
    <t>Battery Voltage [V]</t>
  </si>
  <si>
    <t>Short Pulse Adder</t>
  </si>
  <si>
    <t>Short Pulse Limit:</t>
  </si>
  <si>
    <t>Effective Pulse Width [ms]</t>
  </si>
  <si>
    <t>Adder [ms]</t>
  </si>
  <si>
    <t>E40</t>
  </si>
  <si>
    <t>P04</t>
  </si>
  <si>
    <t>P05</t>
  </si>
  <si>
    <t>P12</t>
  </si>
  <si>
    <t>E37, E38 (&lt;2009)</t>
  </si>
  <si>
    <t>Differential Pressure [kPa]</t>
  </si>
  <si>
    <t>E38 (2009+), E67, E78</t>
  </si>
  <si>
    <t>Generic</t>
  </si>
  <si>
    <t>Pressures</t>
  </si>
  <si>
    <t>HP730S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</si>
</sst>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"/>
    <numFmt numFmtId="165" formatCode="0.###"/>
    <numFmt numFmtId="166" formatCode="0.0"/>
    <numFmt numFmtId="167" formatCode="0.0000"/>
  </numFmts>
  <fonts count="3" x14ac:knownFonts="1">
    <font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  <fill>
      <patternFill patternType="solid">
        <fgColor rgb="FFEEEEEE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164" fontId="2" fillId="2" borderId="1" xfId="0" applyNumberFormat="1" applyFont="1" applyFill="1" applyBorder="1"/>
    <xf numFmtId="164" fontId="0" fillId="3" borderId="2" xfId="0" applyNumberFormat="1" applyFill="1" applyBorder="1"/>
    <xf numFmtId="164" fontId="0" fillId="3" borderId="3" xfId="0" applyNumberFormat="1" applyFill="1" applyBorder="1"/>
    <xf numFmtId="164" fontId="2" fillId="2" borderId="4" xfId="0" applyNumberFormat="1" applyFont="1" applyFill="1" applyBorder="1"/>
    <xf numFmtId="164" fontId="0" fillId="3" borderId="0" xfId="0" applyNumberFormat="1" applyFill="1"/>
    <xf numFmtId="164" fontId="0" fillId="3" borderId="5" xfId="0" applyNumberFormat="1" applyFill="1" applyBorder="1"/>
    <xf numFmtId="164" fontId="2" fillId="2" borderId="6" xfId="0" applyNumberFormat="1" applyFont="1" applyFill="1" applyBorder="1"/>
    <xf numFmtId="164" fontId="0" fillId="3" borderId="7" xfId="0" applyNumberFormat="1" applyFill="1" applyBorder="1"/>
    <xf numFmtId="164" fontId="0" fillId="3" borderId="8" xfId="0" applyNumberFormat="1" applyFill="1" applyBorder="1"/>
    <xf numFmtId="1" fontId="0" fillId="3" borderId="2" xfId="0" applyNumberFormat="1" applyFill="1" applyBorder="1"/>
    <xf numFmtId="1" fontId="0" fillId="3" borderId="3" xfId="0" applyNumberFormat="1" applyFill="1" applyBorder="1"/>
    <xf numFmtId="1" fontId="0" fillId="3" borderId="0" xfId="0" applyNumberFormat="1" applyFill="1"/>
    <xf numFmtId="1" fontId="0" fillId="3" borderId="5" xfId="0" applyNumberFormat="1" applyFill="1" applyBorder="1"/>
    <xf numFmtId="1" fontId="0" fillId="3" borderId="7" xfId="0" applyNumberFormat="1" applyFill="1" applyBorder="1"/>
    <xf numFmtId="1" fontId="0" fillId="3" borderId="8" xfId="0" applyNumberFormat="1" applyFill="1" applyBorder="1"/>
    <xf numFmtId="165" fontId="2" fillId="4" borderId="9" xfId="0" applyNumberFormat="1" applyFont="1" applyFill="1" applyBorder="1"/>
    <xf numFmtId="1" fontId="2" fillId="2" borderId="10" xfId="0" applyNumberFormat="1" applyFont="1" applyFill="1" applyBorder="1" applyAlignment="1">
      <alignment wrapText="1"/>
    </xf>
    <xf numFmtId="1" fontId="2" fillId="2" borderId="11" xfId="0" applyNumberFormat="1" applyFont="1" applyFill="1" applyBorder="1" applyAlignment="1">
      <alignment wrapText="1"/>
    </xf>
    <xf numFmtId="1" fontId="2" fillId="2" borderId="12" xfId="0" applyNumberFormat="1" applyFont="1" applyFill="1" applyBorder="1" applyAlignment="1">
      <alignment wrapText="1"/>
    </xf>
    <xf numFmtId="2" fontId="2" fillId="2" borderId="10" xfId="0" applyNumberFormat="1" applyFont="1" applyFill="1" applyBorder="1" applyAlignment="1">
      <alignment wrapText="1"/>
    </xf>
    <xf numFmtId="2" fontId="2" fillId="2" borderId="11" xfId="0" applyNumberFormat="1" applyFont="1" applyFill="1" applyBorder="1" applyAlignment="1">
      <alignment wrapText="1"/>
    </xf>
    <xf numFmtId="2" fontId="2" fillId="2" borderId="12" xfId="0" applyNumberFormat="1" applyFont="1" applyFill="1" applyBorder="1" applyAlignment="1">
      <alignment wrapText="1"/>
    </xf>
    <xf numFmtId="166" fontId="2" fillId="2" borderId="1" xfId="0" applyNumberFormat="1" applyFont="1" applyFill="1" applyBorder="1"/>
    <xf numFmtId="166" fontId="2" fillId="2" borderId="2" xfId="0" applyNumberFormat="1" applyFont="1" applyFill="1" applyBorder="1"/>
    <xf numFmtId="166" fontId="2" fillId="2" borderId="3" xfId="0" applyNumberFormat="1" applyFont="1" applyFill="1" applyBorder="1"/>
    <xf numFmtId="166" fontId="2" fillId="2" borderId="13" xfId="0" applyNumberFormat="1" applyFont="1" applyFill="1" applyBorder="1"/>
    <xf numFmtId="166" fontId="2" fillId="2" borderId="14" xfId="0" applyNumberFormat="1" applyFont="1" applyFill="1" applyBorder="1"/>
    <xf numFmtId="166" fontId="2" fillId="2" borderId="15" xfId="0" applyNumberFormat="1" applyFont="1" applyFill="1" applyBorder="1"/>
    <xf numFmtId="166" fontId="2" fillId="2" borderId="4" xfId="0" applyNumberFormat="1" applyFont="1" applyFill="1" applyBorder="1"/>
    <xf numFmtId="167" fontId="0" fillId="3" borderId="0" xfId="0" applyNumberFormat="1" applyFill="1"/>
    <xf numFmtId="167" fontId="0" fillId="3" borderId="5" xfId="0" applyNumberFormat="1" applyFill="1" applyBorder="1"/>
    <xf numFmtId="166" fontId="2" fillId="2" borderId="6" xfId="0" applyNumberFormat="1" applyFont="1" applyFill="1" applyBorder="1"/>
    <xf numFmtId="167" fontId="0" fillId="3" borderId="7" xfId="0" applyNumberFormat="1" applyFill="1" applyBorder="1"/>
    <xf numFmtId="167" fontId="0" fillId="3" borderId="8" xfId="0" applyNumberForma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4</xdr:col>
      <xdr:colOff>314325</xdr:colOff>
      <xdr:row>10</xdr:row>
      <xdr:rowOff>46494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6EDB005-C041-4C83-8BD3-4BAA0AADA6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0"/>
          <a:ext cx="4191000" cy="176099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4</xdr:col>
      <xdr:colOff>314325</xdr:colOff>
      <xdr:row>10</xdr:row>
      <xdr:rowOff>46494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026403E-33E9-47CD-9593-41C492A0CF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0"/>
          <a:ext cx="4191000" cy="176099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4</xdr:col>
      <xdr:colOff>314325</xdr:colOff>
      <xdr:row>10</xdr:row>
      <xdr:rowOff>46494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B66CCA-3E31-4DB6-ADEE-C0CBF4C975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0"/>
          <a:ext cx="4191000" cy="176099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4</xdr:col>
      <xdr:colOff>314325</xdr:colOff>
      <xdr:row>10</xdr:row>
      <xdr:rowOff>46494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CE355F2-6E85-4CBB-BF8B-804EC0C555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0"/>
          <a:ext cx="4191000" cy="176099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4</xdr:col>
      <xdr:colOff>314325</xdr:colOff>
      <xdr:row>10</xdr:row>
      <xdr:rowOff>46494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B8F31AF-42FC-4E4A-9FE4-4CCF5A7D48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0"/>
          <a:ext cx="4191000" cy="176099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4</xdr:col>
      <xdr:colOff>314325</xdr:colOff>
      <xdr:row>10</xdr:row>
      <xdr:rowOff>46494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BC15C23-35DD-4786-8E6D-9D08E7B099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0"/>
          <a:ext cx="4191000" cy="176099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4</xdr:col>
      <xdr:colOff>314325</xdr:colOff>
      <xdr:row>10</xdr:row>
      <xdr:rowOff>46494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FEF6627-5D8E-4DC8-B858-3BD7D78EE9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0"/>
          <a:ext cx="4191000" cy="176099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4</xdr:col>
      <xdr:colOff>314325</xdr:colOff>
      <xdr:row>10</xdr:row>
      <xdr:rowOff>46494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9082B32-DF36-49CD-9981-FDA769A0BF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0"/>
          <a:ext cx="4191000" cy="176099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5:AC160"/>
  <sheetViews>
    <sheetView workbookViewId="0">
      <selection activeCell="B36" sqref="B36"/>
    </sheetView>
  </sheetViews>
  <sheetFormatPr defaultRowHeight="15" x14ac:dyDescent="0.25"/>
  <cols>
    <col min="1" max="1" width="30.7109375" customWidth="1"/>
  </cols>
  <sheetData>
    <row r="15" spans="1:4" ht="28.9" customHeight="1" x14ac:dyDescent="0.5">
      <c r="A15" s="1" t="s">
        <v>0</v>
      </c>
      <c r="B15" s="1"/>
    </row>
    <row r="16" spans="1:4" x14ac:dyDescent="0.25">
      <c r="A16" s="2"/>
      <c r="B16" s="3"/>
      <c r="C16" s="3"/>
      <c r="D16" s="4"/>
    </row>
    <row r="17" spans="1:4" x14ac:dyDescent="0.25">
      <c r="A17" s="5" t="s">
        <v>1</v>
      </c>
      <c r="B17" s="6" t="s">
        <v>43</v>
      </c>
      <c r="C17" s="6"/>
      <c r="D17" s="7"/>
    </row>
    <row r="18" spans="1:4" x14ac:dyDescent="0.25">
      <c r="A18" s="5" t="s">
        <v>2</v>
      </c>
      <c r="B18" s="6" t="s">
        <v>3</v>
      </c>
      <c r="C18" s="6"/>
      <c r="D18" s="7"/>
    </row>
    <row r="19" spans="1:4" x14ac:dyDescent="0.25">
      <c r="A19" s="5" t="s">
        <v>4</v>
      </c>
      <c r="B19" s="6" t="s">
        <v>5</v>
      </c>
      <c r="C19" s="6"/>
      <c r="D19" s="7"/>
    </row>
    <row r="20" spans="1:4" x14ac:dyDescent="0.25">
      <c r="A20" s="8"/>
      <c r="B20" s="9"/>
      <c r="C20" s="9"/>
      <c r="D20" s="10"/>
    </row>
    <row r="22" spans="1:4" x14ac:dyDescent="0.25">
      <c r="A22" s="2"/>
      <c r="B22" s="11"/>
      <c r="C22" s="11"/>
      <c r="D22" s="12"/>
    </row>
    <row r="23" spans="1:4" x14ac:dyDescent="0.25">
      <c r="A23" s="5" t="s">
        <v>6</v>
      </c>
      <c r="B23" s="13">
        <v>300</v>
      </c>
      <c r="C23" s="13" t="s">
        <v>7</v>
      </c>
      <c r="D23" s="14"/>
    </row>
    <row r="24" spans="1:4" x14ac:dyDescent="0.25">
      <c r="A24" s="5" t="s">
        <v>8</v>
      </c>
      <c r="B24" s="13">
        <v>14</v>
      </c>
      <c r="C24" s="13" t="s">
        <v>9</v>
      </c>
      <c r="D24" s="14"/>
    </row>
    <row r="25" spans="1:4" x14ac:dyDescent="0.25">
      <c r="A25" s="8"/>
      <c r="B25" s="15"/>
      <c r="C25" s="15"/>
      <c r="D25" s="16"/>
    </row>
    <row r="29" spans="1:4" x14ac:dyDescent="0.25">
      <c r="A29" s="2"/>
      <c r="B29" s="3"/>
      <c r="C29" s="3"/>
      <c r="D29" s="4"/>
    </row>
    <row r="30" spans="1:4" x14ac:dyDescent="0.25">
      <c r="A30" s="5" t="s">
        <v>10</v>
      </c>
      <c r="B30" s="6">
        <v>0.31000000000000011</v>
      </c>
      <c r="C30" s="6" t="s">
        <v>11</v>
      </c>
      <c r="D30" s="7"/>
    </row>
    <row r="31" spans="1:4" x14ac:dyDescent="0.25">
      <c r="A31" s="8"/>
      <c r="B31" s="9"/>
      <c r="C31" s="9"/>
      <c r="D31" s="10"/>
    </row>
    <row r="34" spans="1:5" ht="28.9" customHeight="1" x14ac:dyDescent="0.5">
      <c r="A34" s="1" t="s">
        <v>12</v>
      </c>
    </row>
    <row r="36" spans="1:5" x14ac:dyDescent="0.25">
      <c r="A36" s="17" t="s">
        <v>13</v>
      </c>
      <c r="B36" s="17">
        <v>100</v>
      </c>
      <c r="C36" s="17" t="s">
        <v>14</v>
      </c>
      <c r="D36" s="17" t="s">
        <v>15</v>
      </c>
      <c r="E36" s="17"/>
    </row>
    <row r="37" spans="1:5" hidden="1" x14ac:dyDescent="0.25">
      <c r="A37" s="17" t="s">
        <v>16</v>
      </c>
      <c r="B37" s="17">
        <v>14.7</v>
      </c>
      <c r="C37" s="17"/>
      <c r="D37" s="17" t="s">
        <v>15</v>
      </c>
      <c r="E37" s="17"/>
    </row>
    <row r="38" spans="1:5" hidden="1" x14ac:dyDescent="0.25">
      <c r="A38" s="17" t="s">
        <v>17</v>
      </c>
      <c r="B38" s="17">
        <v>9.0079999999999991</v>
      </c>
      <c r="C38" s="17"/>
      <c r="D38" s="17" t="s">
        <v>15</v>
      </c>
      <c r="E38" s="17"/>
    </row>
    <row r="40" spans="1:5" ht="48" customHeight="1" x14ac:dyDescent="0.25">
      <c r="A40" s="18" t="s">
        <v>18</v>
      </c>
      <c r="B40" s="19" t="s">
        <v>19</v>
      </c>
      <c r="C40" s="19" t="s">
        <v>20</v>
      </c>
      <c r="D40" s="19" t="s">
        <v>21</v>
      </c>
      <c r="E40" s="20" t="s">
        <v>22</v>
      </c>
    </row>
    <row r="41" spans="1:5" x14ac:dyDescent="0.25">
      <c r="A41" s="5">
        <v>0</v>
      </c>
      <c r="B41" s="6">
        <v>77.771477451101447</v>
      </c>
      <c r="C41" s="6">
        <f>77.7714774511014 * $B$36 / 100</f>
        <v>77.771477451101404</v>
      </c>
      <c r="D41" s="6">
        <v>9.7990333333333339</v>
      </c>
      <c r="E41" s="7">
        <f>9.79903333333333 * $B$36 / 100</f>
        <v>9.7990333333333304</v>
      </c>
    </row>
    <row r="42" spans="1:5" x14ac:dyDescent="0.25">
      <c r="A42" s="5">
        <v>5</v>
      </c>
      <c r="B42" s="6">
        <v>78.237391752940979</v>
      </c>
      <c r="C42" s="6">
        <f>78.2373917529409 * $B$36 / 100</f>
        <v>78.237391752940894</v>
      </c>
      <c r="D42" s="6">
        <v>9.8577375000000007</v>
      </c>
      <c r="E42" s="7">
        <f>9.8577375 * $B$36 / 100</f>
        <v>9.8577375000000007</v>
      </c>
    </row>
    <row r="43" spans="1:5" x14ac:dyDescent="0.25">
      <c r="A43" s="5">
        <v>10</v>
      </c>
      <c r="B43" s="6">
        <v>78.703306054780526</v>
      </c>
      <c r="C43" s="6">
        <f>78.7033060547805 * $B$36 / 100</f>
        <v>78.703306054780498</v>
      </c>
      <c r="D43" s="6">
        <v>9.9164416666666693</v>
      </c>
      <c r="E43" s="7">
        <f>9.91644166666667 * $B$36 / 100</f>
        <v>9.9164416666666693</v>
      </c>
    </row>
    <row r="44" spans="1:5" x14ac:dyDescent="0.25">
      <c r="A44" s="5">
        <v>15</v>
      </c>
      <c r="B44" s="6">
        <v>79.169220356620059</v>
      </c>
      <c r="C44" s="6">
        <f>79.16922035662 * $B$36 / 100</f>
        <v>79.169220356620002</v>
      </c>
      <c r="D44" s="6">
        <v>9.9751458333333343</v>
      </c>
      <c r="E44" s="7">
        <f>9.97514583333333 * $B$36 / 100</f>
        <v>9.9751458333333307</v>
      </c>
    </row>
    <row r="45" spans="1:5" x14ac:dyDescent="0.25">
      <c r="A45" s="5">
        <v>20</v>
      </c>
      <c r="B45" s="6">
        <v>79.635134658459592</v>
      </c>
      <c r="C45" s="6">
        <f>79.6351346584595 * $B$36 / 100</f>
        <v>79.635134658459506</v>
      </c>
      <c r="D45" s="6">
        <v>10.033849999999999</v>
      </c>
      <c r="E45" s="7">
        <f>10.03385 * $B$36 / 100</f>
        <v>10.033849999999999</v>
      </c>
    </row>
    <row r="46" spans="1:5" x14ac:dyDescent="0.25">
      <c r="A46" s="5">
        <v>25</v>
      </c>
      <c r="B46" s="6">
        <v>80.101048960299138</v>
      </c>
      <c r="C46" s="6">
        <f>80.1010489602991 * $B$36 / 100</f>
        <v>80.101048960299096</v>
      </c>
      <c r="D46" s="6">
        <v>10.09255416666667</v>
      </c>
      <c r="E46" s="7">
        <f>10.0925541666666 * $B$36 / 100</f>
        <v>10.0925541666666</v>
      </c>
    </row>
    <row r="47" spans="1:5" x14ac:dyDescent="0.25">
      <c r="A47" s="5">
        <v>30</v>
      </c>
      <c r="B47" s="6">
        <v>80.566963262138671</v>
      </c>
      <c r="C47" s="6">
        <f>80.5669632621386 * $B$36 / 100</f>
        <v>80.5669632621386</v>
      </c>
      <c r="D47" s="6">
        <v>10.151258333333329</v>
      </c>
      <c r="E47" s="7">
        <f>10.1512583333333 * $B$36 / 100</f>
        <v>10.151258333333301</v>
      </c>
    </row>
    <row r="48" spans="1:5" x14ac:dyDescent="0.25">
      <c r="A48" s="5">
        <v>35</v>
      </c>
      <c r="B48" s="6">
        <v>81.032877563978204</v>
      </c>
      <c r="C48" s="6">
        <f>81.0328775639782 * $B$36 / 100</f>
        <v>81.032877563978204</v>
      </c>
      <c r="D48" s="6">
        <v>10.2099625</v>
      </c>
      <c r="E48" s="7">
        <f>10.2099625 * $B$36 / 100</f>
        <v>10.2099625</v>
      </c>
    </row>
    <row r="49" spans="1:18" x14ac:dyDescent="0.25">
      <c r="A49" s="5">
        <v>40</v>
      </c>
      <c r="B49" s="6">
        <v>81.498791865817751</v>
      </c>
      <c r="C49" s="6">
        <f>81.4987918658177 * $B$36 / 100</f>
        <v>81.498791865817694</v>
      </c>
      <c r="D49" s="6">
        <v>10.26866666666667</v>
      </c>
      <c r="E49" s="7">
        <f>10.2686666666666 * $B$36 / 100</f>
        <v>10.268666666666599</v>
      </c>
    </row>
    <row r="50" spans="1:18" x14ac:dyDescent="0.25">
      <c r="A50" s="5">
        <v>45</v>
      </c>
      <c r="B50" s="6">
        <v>81.964706167657283</v>
      </c>
      <c r="C50" s="6">
        <f>81.9647061676572 * $B$36 / 100</f>
        <v>81.964706167657198</v>
      </c>
      <c r="D50" s="6">
        <v>10.32737083333333</v>
      </c>
      <c r="E50" s="7">
        <f>10.3273708333333 * $B$36 / 100</f>
        <v>10.327370833333299</v>
      </c>
    </row>
    <row r="51" spans="1:18" x14ac:dyDescent="0.25">
      <c r="A51" s="5">
        <v>50</v>
      </c>
      <c r="B51" s="6">
        <v>82.43062046949683</v>
      </c>
      <c r="C51" s="6">
        <f>82.4306204694968 * $B$36 / 100</f>
        <v>82.430620469496802</v>
      </c>
      <c r="D51" s="6">
        <v>10.386075</v>
      </c>
      <c r="E51" s="7">
        <f>10.386075 * $B$36 / 100</f>
        <v>10.386075</v>
      </c>
    </row>
    <row r="52" spans="1:18" x14ac:dyDescent="0.25">
      <c r="A52" s="5">
        <v>55</v>
      </c>
      <c r="B52" s="6">
        <v>82.896534771336363</v>
      </c>
      <c r="C52" s="6">
        <f>82.8965347713363 * $B$36 / 100</f>
        <v>82.896534771336306</v>
      </c>
      <c r="D52" s="6">
        <v>10.44477916666667</v>
      </c>
      <c r="E52" s="7">
        <f>10.4447791666666 * $B$36 / 100</f>
        <v>10.444779166666599</v>
      </c>
    </row>
    <row r="53" spans="1:18" x14ac:dyDescent="0.25">
      <c r="A53" s="5">
        <v>60</v>
      </c>
      <c r="B53" s="6">
        <v>83.362449073175895</v>
      </c>
      <c r="C53" s="6">
        <f>83.3624490731759 * $B$36 / 100</f>
        <v>83.36244907317591</v>
      </c>
      <c r="D53" s="6">
        <v>10.50348333333333</v>
      </c>
      <c r="E53" s="7">
        <f>10.5034833333333 * $B$36 / 100</f>
        <v>10.5034833333333</v>
      </c>
    </row>
    <row r="54" spans="1:18" x14ac:dyDescent="0.25">
      <c r="A54" s="5">
        <v>65</v>
      </c>
      <c r="B54" s="6">
        <v>83.828363375015442</v>
      </c>
      <c r="C54" s="6">
        <f>83.8283633750154 * $B$36 / 100</f>
        <v>83.8283633750154</v>
      </c>
      <c r="D54" s="6">
        <v>10.5621875</v>
      </c>
      <c r="E54" s="7">
        <f>10.5621875 * $B$36 / 100</f>
        <v>10.5621875</v>
      </c>
    </row>
    <row r="55" spans="1:18" x14ac:dyDescent="0.25">
      <c r="A55" s="5">
        <v>70</v>
      </c>
      <c r="B55" s="6">
        <v>84.294277676854975</v>
      </c>
      <c r="C55" s="6">
        <f>84.2942776768549 * $B$36 / 100</f>
        <v>84.294277676854904</v>
      </c>
      <c r="D55" s="6">
        <v>10.620891666666671</v>
      </c>
      <c r="E55" s="7">
        <f>10.6208916666666 * $B$36 / 100</f>
        <v>10.620891666666601</v>
      </c>
    </row>
    <row r="56" spans="1:18" x14ac:dyDescent="0.25">
      <c r="A56" s="5">
        <v>75</v>
      </c>
      <c r="B56" s="6">
        <v>84.760191978694507</v>
      </c>
      <c r="C56" s="6">
        <f>84.7601919786945 * $B$36 / 100</f>
        <v>84.760191978694493</v>
      </c>
      <c r="D56" s="6">
        <v>10.67959583333333</v>
      </c>
      <c r="E56" s="7">
        <f>10.6795958333333 * $B$36 / 100</f>
        <v>10.679595833333302</v>
      </c>
    </row>
    <row r="57" spans="1:18" x14ac:dyDescent="0.25">
      <c r="A57" s="8">
        <v>80</v>
      </c>
      <c r="B57" s="9">
        <v>85.226106280534054</v>
      </c>
      <c r="C57" s="9">
        <f>85.226106280534 * $B$36 / 100</f>
        <v>85.226106280533998</v>
      </c>
      <c r="D57" s="9">
        <v>10.738300000000001</v>
      </c>
      <c r="E57" s="10">
        <f>10.7383 * $B$36 / 100</f>
        <v>10.738300000000002</v>
      </c>
    </row>
    <row r="59" spans="1:18" ht="28.9" customHeight="1" x14ac:dyDescent="0.5">
      <c r="A59" s="1" t="s">
        <v>23</v>
      </c>
      <c r="B59" s="1"/>
    </row>
    <row r="60" spans="1:18" x14ac:dyDescent="0.25">
      <c r="A60" s="21" t="s">
        <v>24</v>
      </c>
      <c r="B60" s="22">
        <v>0</v>
      </c>
      <c r="C60" s="22">
        <v>6.25</v>
      </c>
      <c r="D60" s="22">
        <v>12.5</v>
      </c>
      <c r="E60" s="22">
        <v>18.75</v>
      </c>
      <c r="F60" s="22">
        <v>25</v>
      </c>
      <c r="G60" s="22">
        <v>31.25</v>
      </c>
      <c r="H60" s="22">
        <v>37.5</v>
      </c>
      <c r="I60" s="22">
        <v>43.75</v>
      </c>
      <c r="J60" s="22">
        <v>50</v>
      </c>
      <c r="K60" s="22">
        <v>56.25</v>
      </c>
      <c r="L60" s="22">
        <v>62.5</v>
      </c>
      <c r="M60" s="22">
        <v>68.75</v>
      </c>
      <c r="N60" s="22">
        <v>75</v>
      </c>
      <c r="O60" s="22">
        <v>81.25</v>
      </c>
      <c r="P60" s="22">
        <v>87.5</v>
      </c>
      <c r="Q60" s="22">
        <v>93.75</v>
      </c>
      <c r="R60" s="23">
        <v>100</v>
      </c>
    </row>
    <row r="61" spans="1:18" x14ac:dyDescent="0.25">
      <c r="A61" s="5" t="s">
        <v>25</v>
      </c>
      <c r="B61" s="6">
        <f>0 * $B$38 + (1 - 0) * $B$37</f>
        <v>14.7</v>
      </c>
      <c r="C61" s="6">
        <f>0.0625 * $B$38 + (1 - 0.0625) * $B$37</f>
        <v>14.344250000000001</v>
      </c>
      <c r="D61" s="6">
        <f>0.125 * $B$38 + (1 - 0.125) * $B$37</f>
        <v>13.988499999999998</v>
      </c>
      <c r="E61" s="6">
        <f>0.1875 * $B$38 + (1 - 0.1875) * $B$37</f>
        <v>13.63275</v>
      </c>
      <c r="F61" s="6">
        <f>0.25 * $B$38 + (1 - 0.25) * $B$37</f>
        <v>13.276999999999997</v>
      </c>
      <c r="G61" s="6">
        <f>0.3125 * $B$38 + (1 - 0.3125) * $B$37</f>
        <v>12.921249999999999</v>
      </c>
      <c r="H61" s="6">
        <f>0.375 * $B$38 + (1 - 0.375) * $B$37</f>
        <v>12.5655</v>
      </c>
      <c r="I61" s="6">
        <f>0.4375 * $B$38 + (1 - 0.4375) * $B$37</f>
        <v>12.20975</v>
      </c>
      <c r="J61" s="6">
        <f>0.5 * $B$38 + (1 - 0.5) * $B$37</f>
        <v>11.853999999999999</v>
      </c>
      <c r="K61" s="6">
        <f>0.5625 * $B$38 + (1 - 0.5625) * $B$37</f>
        <v>11.498249999999999</v>
      </c>
      <c r="L61" s="6">
        <f>0.625 * $B$38 + (1 - 0.625) * $B$37</f>
        <v>11.142499999999998</v>
      </c>
      <c r="M61" s="6">
        <f>0.6875 * $B$38 + (1 - 0.6875) * $B$37</f>
        <v>10.78675</v>
      </c>
      <c r="N61" s="6">
        <f>0.75 * $B$38 + (1 - 0.75) * $B$37</f>
        <v>10.430999999999999</v>
      </c>
      <c r="O61" s="6">
        <f>0.8125 * $B$38 + (1 - 0.8125) * $B$37</f>
        <v>10.075249999999999</v>
      </c>
      <c r="P61" s="6">
        <f>0.875 * $B$38 + (1 - 0.875) * $B$37</f>
        <v>9.7195</v>
      </c>
      <c r="Q61" s="6">
        <f>0.9375 * $B$38 + (1 - 0.9375) * $B$37</f>
        <v>9.3637499999999978</v>
      </c>
      <c r="R61" s="7">
        <f>1 * $B$38 + (1 - 1) * $B$37</f>
        <v>9.0079999999999991</v>
      </c>
    </row>
    <row r="62" spans="1:18" x14ac:dyDescent="0.25">
      <c r="A62" s="8" t="s">
        <v>26</v>
      </c>
      <c r="B62" s="9">
        <f>(0 * $B$38 + (1 - 0) * $B$37) * $B$36 / 100</f>
        <v>14.7</v>
      </c>
      <c r="C62" s="9">
        <f>(0.0625 * $B$38 + (1 - 0.0625) * $B$37) * $B$36 / 100</f>
        <v>14.344249999999999</v>
      </c>
      <c r="D62" s="9">
        <f>(0.125 * $B$38 + (1 - 0.125) * $B$37) * $B$36 / 100</f>
        <v>13.988499999999998</v>
      </c>
      <c r="E62" s="9">
        <f>(0.1875 * $B$38 + (1 - 0.1875) * $B$37) * $B$36 / 100</f>
        <v>13.632749999999998</v>
      </c>
      <c r="F62" s="9">
        <f>(0.25 * $B$38 + (1 - 0.25) * $B$37) * $B$36 / 100</f>
        <v>13.276999999999997</v>
      </c>
      <c r="G62" s="9">
        <f>(0.3125 * $B$38 + (1 - 0.3125) * $B$37) * $B$36 / 100</f>
        <v>12.921249999999997</v>
      </c>
      <c r="H62" s="9">
        <f>(0.375 * $B$38 + (1 - 0.375) * $B$37) * $B$36 / 100</f>
        <v>12.5655</v>
      </c>
      <c r="I62" s="9">
        <f>(0.4375 * $B$38 + (1 - 0.4375) * $B$37) * $B$36 / 100</f>
        <v>12.20975</v>
      </c>
      <c r="J62" s="9">
        <f>(0.5 * $B$38 + (1 - 0.5) * $B$37) * $B$36 / 100</f>
        <v>11.853999999999999</v>
      </c>
      <c r="K62" s="9">
        <f>(0.5625 * $B$38 + (1 - 0.5625) * $B$37) * $B$36 / 100</f>
        <v>11.498249999999999</v>
      </c>
      <c r="L62" s="9">
        <f>(0.625 * $B$38 + (1 - 0.625) * $B$37) * $B$36 / 100</f>
        <v>11.142499999999998</v>
      </c>
      <c r="M62" s="9">
        <f>(0.6875 * $B$38 + (1 - 0.6875) * $B$37) * $B$36 / 100</f>
        <v>10.78675</v>
      </c>
      <c r="N62" s="9">
        <f>(0.75 * $B$38 + (1 - 0.75) * $B$37) * $B$36 / 100</f>
        <v>10.430999999999999</v>
      </c>
      <c r="O62" s="9">
        <f>(0.8125 * $B$38 + (1 - 0.8125) * $B$37) * $B$36 / 100</f>
        <v>10.075249999999999</v>
      </c>
      <c r="P62" s="9">
        <f>(0.875 * $B$38 + (1 - 0.875) * $B$37) * $B$36 / 100</f>
        <v>9.7195</v>
      </c>
      <c r="Q62" s="9">
        <f>(0.9375 * $B$38 + (1 - 0.9375) * $B$37) * $B$36 / 100</f>
        <v>9.3637499999999978</v>
      </c>
      <c r="R62" s="10">
        <f>(1 * $B$38 + (1 - 1) * $B$37) * $B$36 / 100</f>
        <v>9.0079999999999991</v>
      </c>
    </row>
    <row r="64" spans="1:18" ht="28.9" customHeight="1" x14ac:dyDescent="0.5">
      <c r="A64" s="1" t="s">
        <v>27</v>
      </c>
      <c r="B64" s="1"/>
    </row>
    <row r="65" spans="1:29" x14ac:dyDescent="0.25">
      <c r="A65" s="24" t="s">
        <v>28</v>
      </c>
      <c r="B65" s="25" t="s">
        <v>29</v>
      </c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25"/>
      <c r="W65" s="25"/>
      <c r="X65" s="25"/>
      <c r="Y65" s="25"/>
      <c r="Z65" s="25"/>
      <c r="AA65" s="25"/>
      <c r="AB65" s="25"/>
      <c r="AC65" s="26"/>
    </row>
    <row r="66" spans="1:29" x14ac:dyDescent="0.25">
      <c r="A66" s="27" t="s">
        <v>18</v>
      </c>
      <c r="B66" s="28">
        <v>4.5</v>
      </c>
      <c r="C66" s="28">
        <v>5</v>
      </c>
      <c r="D66" s="28">
        <v>5.5</v>
      </c>
      <c r="E66" s="28">
        <v>6</v>
      </c>
      <c r="F66" s="28">
        <v>6.5</v>
      </c>
      <c r="G66" s="28">
        <v>7</v>
      </c>
      <c r="H66" s="28">
        <v>7.5</v>
      </c>
      <c r="I66" s="28">
        <v>8</v>
      </c>
      <c r="J66" s="28">
        <v>8.5</v>
      </c>
      <c r="K66" s="28">
        <v>9</v>
      </c>
      <c r="L66" s="28">
        <v>9.5</v>
      </c>
      <c r="M66" s="28">
        <v>10</v>
      </c>
      <c r="N66" s="28">
        <v>10.5</v>
      </c>
      <c r="O66" s="28">
        <v>11</v>
      </c>
      <c r="P66" s="28">
        <v>11.5</v>
      </c>
      <c r="Q66" s="28">
        <v>12</v>
      </c>
      <c r="R66" s="28">
        <v>12.5</v>
      </c>
      <c r="S66" s="28">
        <v>13</v>
      </c>
      <c r="T66" s="28">
        <v>13.5</v>
      </c>
      <c r="U66" s="28">
        <v>14</v>
      </c>
      <c r="V66" s="28">
        <v>14.5</v>
      </c>
      <c r="W66" s="28">
        <v>15</v>
      </c>
      <c r="X66" s="28">
        <v>15.5</v>
      </c>
      <c r="Y66" s="28">
        <v>16</v>
      </c>
      <c r="Z66" s="28">
        <v>16.5</v>
      </c>
      <c r="AA66" s="28">
        <v>17</v>
      </c>
      <c r="AB66" s="28">
        <v>17.5</v>
      </c>
      <c r="AC66" s="29">
        <v>18</v>
      </c>
    </row>
    <row r="67" spans="1:29" x14ac:dyDescent="0.25">
      <c r="A67" s="30">
        <v>0</v>
      </c>
      <c r="B67" s="31">
        <v>9.9832281598235042</v>
      </c>
      <c r="C67" s="31">
        <v>8.7700085308992932</v>
      </c>
      <c r="D67" s="31">
        <v>7.6862102442219156</v>
      </c>
      <c r="E67" s="31">
        <v>6.722058179962124</v>
      </c>
      <c r="F67" s="31">
        <v>5.8681619176020199</v>
      </c>
      <c r="G67" s="31">
        <v>5.1155157359350376</v>
      </c>
      <c r="H67" s="31">
        <v>4.4554986130659762</v>
      </c>
      <c r="I67" s="31">
        <v>3.879874226410954</v>
      </c>
      <c r="J67" s="31">
        <v>3.3807909526974611</v>
      </c>
      <c r="K67" s="31">
        <v>2.950781867964305</v>
      </c>
      <c r="L67" s="31">
        <v>2.5827647475616651</v>
      </c>
      <c r="M67" s="31">
        <v>2.2700420661510412</v>
      </c>
      <c r="N67" s="31">
        <v>2.006300997705301</v>
      </c>
      <c r="O67" s="31">
        <v>1.7856134155086261</v>
      </c>
      <c r="P67" s="31">
        <v>1.602435892156584</v>
      </c>
      <c r="Q67" s="31">
        <v>1.451609699556041</v>
      </c>
      <c r="R67" s="31">
        <v>1.3283608089252521</v>
      </c>
      <c r="S67" s="31">
        <v>1.228299890793789</v>
      </c>
      <c r="T67" s="31">
        <v>1.14742231500258</v>
      </c>
      <c r="U67" s="31">
        <v>1.0821081507038841</v>
      </c>
      <c r="V67" s="31">
        <v>1.0291221663613099</v>
      </c>
      <c r="W67" s="31">
        <v>0.98561382974982714</v>
      </c>
      <c r="X67" s="31">
        <v>0.94911730795574545</v>
      </c>
      <c r="Y67" s="31">
        <v>0.91755146737669335</v>
      </c>
      <c r="Z67" s="31">
        <v>0.88921987372169708</v>
      </c>
      <c r="AA67" s="31">
        <v>0.86281079201104693</v>
      </c>
      <c r="AB67" s="31">
        <v>0.83739718657646045</v>
      </c>
      <c r="AC67" s="32">
        <v>0.81243672106092657</v>
      </c>
    </row>
    <row r="68" spans="1:29" x14ac:dyDescent="0.25">
      <c r="A68" s="30">
        <v>5</v>
      </c>
      <c r="B68" s="31">
        <v>10.059354043819219</v>
      </c>
      <c r="C68" s="31">
        <v>8.8379119652431193</v>
      </c>
      <c r="D68" s="31">
        <v>7.7465181755517154</v>
      </c>
      <c r="E68" s="31">
        <v>6.775373442133855</v>
      </c>
      <c r="F68" s="31">
        <v>5.9150632316896967</v>
      </c>
      <c r="G68" s="31">
        <v>5.156557710230774</v>
      </c>
      <c r="H68" s="31">
        <v>4.4912117430799494</v>
      </c>
      <c r="I68" s="31">
        <v>3.9107648948714289</v>
      </c>
      <c r="J68" s="31">
        <v>3.407341429550772</v>
      </c>
      <c r="K68" s="31">
        <v>2.9734503103748771</v>
      </c>
      <c r="L68" s="31">
        <v>2.601985199911991</v>
      </c>
      <c r="M68" s="31">
        <v>2.286224460041693</v>
      </c>
      <c r="N68" s="31">
        <v>2.0198311519549321</v>
      </c>
      <c r="O68" s="31">
        <v>1.796853036153975</v>
      </c>
      <c r="P68" s="31">
        <v>1.6117225724524511</v>
      </c>
      <c r="Q68" s="31">
        <v>1.459256919975322</v>
      </c>
      <c r="R68" s="31">
        <v>1.3346579371589069</v>
      </c>
      <c r="S68" s="31">
        <v>1.2335121817508741</v>
      </c>
      <c r="T68" s="31">
        <v>1.151790910810208</v>
      </c>
      <c r="U68" s="31">
        <v>1.0858500807072591</v>
      </c>
      <c r="V68" s="31">
        <v>1.0324303471237219</v>
      </c>
      <c r="W68" s="31">
        <v>0.98865706505263884</v>
      </c>
      <c r="X68" s="31">
        <v>0.95204028879838098</v>
      </c>
      <c r="Y68" s="31">
        <v>0.92047477197668204</v>
      </c>
      <c r="Z68" s="31">
        <v>0.89223996751461976</v>
      </c>
      <c r="AA68" s="31">
        <v>0.86600002765058204</v>
      </c>
      <c r="AB68" s="31">
        <v>0.8408038039343565</v>
      </c>
      <c r="AC68" s="32">
        <v>0.81608484722701746</v>
      </c>
    </row>
    <row r="69" spans="1:29" x14ac:dyDescent="0.25">
      <c r="A69" s="30">
        <v>10</v>
      </c>
      <c r="B69" s="31">
        <v>10.1359525180064</v>
      </c>
      <c r="C69" s="31">
        <v>8.9062528460490213</v>
      </c>
      <c r="D69" s="31">
        <v>7.8072297670753006</v>
      </c>
      <c r="E69" s="31">
        <v>6.8290599356921469</v>
      </c>
      <c r="F69" s="31">
        <v>5.9623047058178242</v>
      </c>
      <c r="G69" s="31">
        <v>5.1979101306819242</v>
      </c>
      <c r="H69" s="31">
        <v>4.527206962825395</v>
      </c>
      <c r="I69" s="31">
        <v>3.9419106541005249</v>
      </c>
      <c r="J69" s="31">
        <v>3.4341213556709471</v>
      </c>
      <c r="K69" s="31">
        <v>2.996323918011639</v>
      </c>
      <c r="L69" s="31">
        <v>2.6213878909089239</v>
      </c>
      <c r="M69" s="31">
        <v>2.3025675234604628</v>
      </c>
      <c r="N69" s="31">
        <v>2.0335017640752868</v>
      </c>
      <c r="O69" s="31">
        <v>1.808214260473729</v>
      </c>
      <c r="P69" s="31">
        <v>1.6211133596875149</v>
      </c>
      <c r="Q69" s="31">
        <v>1.4669921080596651</v>
      </c>
      <c r="R69" s="31">
        <v>1.341028251244605</v>
      </c>
      <c r="S69" s="31">
        <v>1.2387842342080351</v>
      </c>
      <c r="T69" s="31">
        <v>1.156207201227069</v>
      </c>
      <c r="U69" s="31">
        <v>1.089628995890102</v>
      </c>
      <c r="V69" s="31">
        <v>1.0357661610969231</v>
      </c>
      <c r="W69" s="31">
        <v>0.9917199390586372</v>
      </c>
      <c r="X69" s="31">
        <v>0.9549762712977099</v>
      </c>
      <c r="Y69" s="31">
        <v>0.92340579864796468</v>
      </c>
      <c r="Z69" s="31">
        <v>0.89526386125450963</v>
      </c>
      <c r="AA69" s="31">
        <v>0.86919049857388964</v>
      </c>
      <c r="AB69" s="31">
        <v>0.84421044937386136</v>
      </c>
      <c r="AC69" s="32">
        <v>0.81973315173370775</v>
      </c>
    </row>
    <row r="70" spans="1:29" x14ac:dyDescent="0.25">
      <c r="A70" s="30">
        <v>15</v>
      </c>
      <c r="B70" s="31">
        <v>10.21302408388105</v>
      </c>
      <c r="C70" s="31">
        <v>8.9750316557427414</v>
      </c>
      <c r="D70" s="31">
        <v>7.8683454821481416</v>
      </c>
      <c r="E70" s="31">
        <v>6.8831181049222456</v>
      </c>
      <c r="F70" s="31">
        <v>6.0098867652013803</v>
      </c>
      <c r="G70" s="31">
        <v>5.2395734034332238</v>
      </c>
      <c r="H70" s="31">
        <v>4.5634846593767984</v>
      </c>
      <c r="I70" s="31">
        <v>3.9733118721024772</v>
      </c>
      <c r="J70" s="31">
        <v>3.4611310799919668</v>
      </c>
      <c r="K70" s="31">
        <v>3.0194030207383231</v>
      </c>
      <c r="L70" s="31">
        <v>2.6409731313459499</v>
      </c>
      <c r="M70" s="31">
        <v>2.3190715481305899</v>
      </c>
      <c r="N70" s="31">
        <v>2.0473131067193409</v>
      </c>
      <c r="O70" s="31">
        <v>1.8196973420506359</v>
      </c>
      <c r="P70" s="31">
        <v>1.6306084883742511</v>
      </c>
      <c r="Q70" s="31">
        <v>1.474815479251306</v>
      </c>
      <c r="R70" s="31">
        <v>1.3474719475542849</v>
      </c>
      <c r="S70" s="31">
        <v>1.244116225467008</v>
      </c>
      <c r="T70" s="31">
        <v>1.1606713444846091</v>
      </c>
      <c r="U70" s="31">
        <v>1.093445035413614</v>
      </c>
      <c r="V70" s="31">
        <v>1.0391297283718599</v>
      </c>
      <c r="W70" s="31">
        <v>0.99480255278854002</v>
      </c>
      <c r="X70" s="31">
        <v>0.95792533740420538</v>
      </c>
      <c r="Y70" s="31">
        <v>0.92634461027073201</v>
      </c>
      <c r="Z70" s="31">
        <v>0.89829159875135656</v>
      </c>
      <c r="AA70" s="31">
        <v>0.8723822295206286</v>
      </c>
      <c r="AB70" s="31">
        <v>0.84761712856445126</v>
      </c>
      <c r="AC70" s="32">
        <v>0.82338162118014679</v>
      </c>
    </row>
    <row r="71" spans="1:29" x14ac:dyDescent="0.25">
      <c r="A71" s="30">
        <v>20</v>
      </c>
      <c r="B71" s="31">
        <v>10.29056924346057</v>
      </c>
      <c r="C71" s="31">
        <v>9.0442488772714533</v>
      </c>
      <c r="D71" s="31">
        <v>7.9298657846471707</v>
      </c>
      <c r="E71" s="31">
        <v>6.937548394630813</v>
      </c>
      <c r="F71" s="31">
        <v>6.0578098355767827</v>
      </c>
      <c r="G71" s="31">
        <v>5.2815479351508374</v>
      </c>
      <c r="H71" s="31">
        <v>4.6000452203300792</v>
      </c>
      <c r="I71" s="31">
        <v>4.0049689174029526</v>
      </c>
      <c r="J71" s="31">
        <v>3.488370951969249</v>
      </c>
      <c r="K71" s="31">
        <v>3.042687948940094</v>
      </c>
      <c r="L71" s="31">
        <v>2.660741232537982</v>
      </c>
      <c r="M71" s="31">
        <v>2.3357368262967309</v>
      </c>
      <c r="N71" s="31">
        <v>2.061265453061512</v>
      </c>
      <c r="O71" s="31">
        <v>1.8313025349888421</v>
      </c>
      <c r="P71" s="31">
        <v>1.640208193546572</v>
      </c>
      <c r="Q71" s="31">
        <v>1.482727249513909</v>
      </c>
      <c r="R71" s="31">
        <v>1.353989222981397</v>
      </c>
      <c r="S71" s="31">
        <v>1.249508333350938</v>
      </c>
      <c r="T71" s="31">
        <v>1.1651834993357759</v>
      </c>
      <c r="U71" s="31">
        <v>1.097298338960478</v>
      </c>
      <c r="V71" s="31">
        <v>1.0425211695609651</v>
      </c>
      <c r="W71" s="31">
        <v>0.99790500778452773</v>
      </c>
      <c r="X71" s="31">
        <v>0.9608875695897634</v>
      </c>
      <c r="Y71" s="31">
        <v>0.92929127024667046</v>
      </c>
      <c r="Z71" s="31">
        <v>0.90132322433652967</v>
      </c>
      <c r="AA71" s="31">
        <v>0.87557524575197487</v>
      </c>
      <c r="AB71" s="31">
        <v>0.85102384769701445</v>
      </c>
      <c r="AC71" s="32">
        <v>0.82703024268699465</v>
      </c>
    </row>
    <row r="72" spans="1:29" x14ac:dyDescent="0.25">
      <c r="A72" s="30">
        <v>25</v>
      </c>
      <c r="B72" s="31">
        <v>10.36858849928382</v>
      </c>
      <c r="C72" s="31">
        <v>9.113904994103736</v>
      </c>
      <c r="D72" s="31">
        <v>7.9917911389707337</v>
      </c>
      <c r="E72" s="31">
        <v>6.9923512501459486</v>
      </c>
      <c r="F72" s="31">
        <v>6.1060743432018834</v>
      </c>
      <c r="G72" s="31">
        <v>5.3238341330223653</v>
      </c>
      <c r="H72" s="31">
        <v>4.6368890338025803</v>
      </c>
      <c r="I72" s="31">
        <v>4.0368821590490489</v>
      </c>
      <c r="J72" s="31">
        <v>3.515841321579638</v>
      </c>
      <c r="K72" s="31">
        <v>3.0661790335235528</v>
      </c>
      <c r="L72" s="31">
        <v>2.6806925063213738</v>
      </c>
      <c r="M72" s="31">
        <v>2.352563650724985</v>
      </c>
      <c r="N72" s="31">
        <v>2.075359076797656</v>
      </c>
      <c r="O72" s="31">
        <v>1.843030093913949</v>
      </c>
      <c r="P72" s="31">
        <v>1.6499127107598279</v>
      </c>
      <c r="Q72" s="31">
        <v>1.490727635332548</v>
      </c>
      <c r="R72" s="31">
        <v>1.3605802749407681</v>
      </c>
      <c r="S72" s="31">
        <v>1.2549607362044399</v>
      </c>
      <c r="T72" s="31">
        <v>1.169743825054876</v>
      </c>
      <c r="U72" s="31">
        <v>1.101189046734754</v>
      </c>
      <c r="V72" s="31">
        <v>1.0459406057980569</v>
      </c>
      <c r="W72" s="31">
        <v>1.0010274061101641</v>
      </c>
      <c r="X72" s="31">
        <v>0.96386305084775037</v>
      </c>
      <c r="Y72" s="31">
        <v>0.93224584249885611</v>
      </c>
      <c r="Z72" s="31">
        <v>0.90435878286288951</v>
      </c>
      <c r="AA72" s="31">
        <v>0.87876957305053349</v>
      </c>
      <c r="AB72" s="31">
        <v>0.85443061348387761</v>
      </c>
      <c r="AC72" s="32">
        <v>0.83067900389639227</v>
      </c>
    </row>
    <row r="73" spans="1:29" x14ac:dyDescent="0.25">
      <c r="A73" s="30">
        <v>30</v>
      </c>
      <c r="B73" s="31">
        <v>10.4470823544111</v>
      </c>
      <c r="C73" s="31">
        <v>9.1840004902296553</v>
      </c>
      <c r="D73" s="31">
        <v>8.0541220100386113</v>
      </c>
      <c r="E73" s="31">
        <v>7.0475271173171938</v>
      </c>
      <c r="F73" s="31">
        <v>6.154680714855969</v>
      </c>
      <c r="G73" s="31">
        <v>5.3664324047568446</v>
      </c>
      <c r="H73" s="31">
        <v>4.674016488433085</v>
      </c>
      <c r="I73" s="31">
        <v>4.0690519666092939</v>
      </c>
      <c r="J73" s="31">
        <v>3.5435425393214128</v>
      </c>
      <c r="K73" s="31">
        <v>3.08987660591673</v>
      </c>
      <c r="L73" s="31">
        <v>2.7008272650539009</v>
      </c>
      <c r="M73" s="31">
        <v>2.369552314702883</v>
      </c>
      <c r="N73" s="31">
        <v>2.0895942521450301</v>
      </c>
      <c r="O73" s="31">
        <v>1.8548802739729811</v>
      </c>
      <c r="P73" s="31">
        <v>1.659722276090787</v>
      </c>
      <c r="Q73" s="31">
        <v>1.4988168537137641</v>
      </c>
      <c r="R73" s="31">
        <v>1.367245301368661</v>
      </c>
      <c r="S73" s="31">
        <v>1.260473612893513</v>
      </c>
      <c r="T73" s="31">
        <v>1.174352481437716</v>
      </c>
      <c r="U73" s="31">
        <v>1.105117299461984</v>
      </c>
      <c r="V73" s="31">
        <v>1.0493881587384311</v>
      </c>
      <c r="W73" s="31">
        <v>1.004169850350479</v>
      </c>
      <c r="X73" s="31">
        <v>0.96685186469290951</v>
      </c>
      <c r="Y73" s="31">
        <v>0.93520839147183021</v>
      </c>
      <c r="Z73" s="31">
        <v>0.90739831970469054</v>
      </c>
      <c r="AA73" s="31">
        <v>0.88196523772033364</v>
      </c>
      <c r="AB73" s="31">
        <v>0.85783743315887051</v>
      </c>
      <c r="AC73" s="32">
        <v>0.83432789297181731</v>
      </c>
    </row>
    <row r="74" spans="1:29" x14ac:dyDescent="0.25">
      <c r="A74" s="30">
        <v>35</v>
      </c>
      <c r="B74" s="31">
        <v>10.5260513124241</v>
      </c>
      <c r="C74" s="31">
        <v>9.2545358501606643</v>
      </c>
      <c r="D74" s="31">
        <v>8.1168588632920304</v>
      </c>
      <c r="E74" s="31">
        <v>7.1030764425155084</v>
      </c>
      <c r="F74" s="31">
        <v>6.203629377839742</v>
      </c>
      <c r="G74" s="31">
        <v>5.4093431585847336</v>
      </c>
      <c r="H74" s="31">
        <v>4.7114279733818094</v>
      </c>
      <c r="I74" s="31">
        <v>4.1014787101736534</v>
      </c>
      <c r="J74" s="31">
        <v>3.571474956214292</v>
      </c>
      <c r="K74" s="31">
        <v>3.113780998069088</v>
      </c>
      <c r="L74" s="31">
        <v>2.7211458216147681</v>
      </c>
      <c r="M74" s="31">
        <v>2.3867031120393838</v>
      </c>
      <c r="N74" s="31">
        <v>2.1039712538423552</v>
      </c>
      <c r="O74" s="31">
        <v>1.866853330834412</v>
      </c>
      <c r="P74" s="31">
        <v>1.6696371261376519</v>
      </c>
      <c r="Q74" s="31">
        <v>1.5069951221855249</v>
      </c>
      <c r="R74" s="31">
        <v>1.373984500722814</v>
      </c>
      <c r="S74" s="31">
        <v>1.2660471428056299</v>
      </c>
      <c r="T74" s="31">
        <v>1.179009628801472</v>
      </c>
      <c r="U74" s="31">
        <v>1.1090832383891449</v>
      </c>
      <c r="V74" s="31">
        <v>1.052863950558784</v>
      </c>
      <c r="W74" s="31">
        <v>1.007332443611954</v>
      </c>
      <c r="X74" s="31">
        <v>0.96985409516146071</v>
      </c>
      <c r="Y74" s="31">
        <v>0.93817898213152318</v>
      </c>
      <c r="Z74" s="31">
        <v>0.91044188075767363</v>
      </c>
      <c r="AA74" s="31">
        <v>0.88516226658680719</v>
      </c>
      <c r="AB74" s="31">
        <v>0.86124431447710503</v>
      </c>
      <c r="AC74" s="32">
        <v>0.8379768985982281</v>
      </c>
    </row>
    <row r="75" spans="1:29" x14ac:dyDescent="0.25">
      <c r="A75" s="30">
        <v>40</v>
      </c>
      <c r="B75" s="31">
        <v>10.605495877425991</v>
      </c>
      <c r="C75" s="31">
        <v>9.3255115589296551</v>
      </c>
      <c r="D75" s="31">
        <v>8.1800021646936205</v>
      </c>
      <c r="E75" s="31">
        <v>7.158999672633283</v>
      </c>
      <c r="F75" s="31">
        <v>6.2529207599753613</v>
      </c>
      <c r="G75" s="31">
        <v>5.4525668032579224</v>
      </c>
      <c r="H75" s="31">
        <v>4.7491238783303897</v>
      </c>
      <c r="I75" s="31">
        <v>4.134162760353516</v>
      </c>
      <c r="J75" s="31">
        <v>3.599638923799406</v>
      </c>
      <c r="K75" s="31">
        <v>3.1378925424515112</v>
      </c>
      <c r="L75" s="31">
        <v>2.741648489404628</v>
      </c>
      <c r="M75" s="31">
        <v>2.4040163370648808</v>
      </c>
      <c r="N75" s="31">
        <v>2.118490357149764</v>
      </c>
      <c r="O75" s="31">
        <v>1.8789495206881</v>
      </c>
      <c r="P75" s="31">
        <v>1.67965749802008</v>
      </c>
      <c r="Q75" s="31">
        <v>1.5152626587971929</v>
      </c>
      <c r="R75" s="31">
        <v>1.380798071982323</v>
      </c>
      <c r="S75" s="31">
        <v>1.27168150584967</v>
      </c>
      <c r="T75" s="31">
        <v>1.1837154279847899</v>
      </c>
      <c r="U75" s="31">
        <v>1.1130870052845609</v>
      </c>
      <c r="V75" s="31">
        <v>1.0563681039572439</v>
      </c>
      <c r="W75" s="31">
        <v>1.0105152895224201</v>
      </c>
      <c r="X75" s="31">
        <v>0.97286982681101886</v>
      </c>
      <c r="Y75" s="31">
        <v>0.94115767996530775</v>
      </c>
      <c r="Z75" s="31">
        <v>0.91348951243893628</v>
      </c>
      <c r="AA75" s="31">
        <v>0.88836068699682647</v>
      </c>
      <c r="AB75" s="31">
        <v>0.8646512657153097</v>
      </c>
      <c r="AC75" s="32">
        <v>0.84162600998202919</v>
      </c>
    </row>
    <row r="76" spans="1:29" x14ac:dyDescent="0.25">
      <c r="A76" s="30">
        <v>45</v>
      </c>
      <c r="B76" s="31">
        <v>10.68541655404135</v>
      </c>
      <c r="C76" s="31">
        <v>9.3969281020909712</v>
      </c>
      <c r="D76" s="31">
        <v>8.2435523807274969</v>
      </c>
      <c r="E76" s="31">
        <v>7.2152972550843657</v>
      </c>
      <c r="F76" s="31">
        <v>6.3025552896064134</v>
      </c>
      <c r="G76" s="31">
        <v>5.4961037480497659</v>
      </c>
      <c r="H76" s="31">
        <v>4.7871045934819314</v>
      </c>
      <c r="I76" s="31">
        <v>4.1671044882817352</v>
      </c>
      <c r="J76" s="31">
        <v>3.6280347941393649</v>
      </c>
      <c r="K76" s="31">
        <v>3.1622115720563428</v>
      </c>
      <c r="L76" s="31">
        <v>2.762335582345556</v>
      </c>
      <c r="M76" s="31">
        <v>2.4214922846312068</v>
      </c>
      <c r="N76" s="31">
        <v>2.1331518378488581</v>
      </c>
      <c r="O76" s="31">
        <v>1.891169100245423</v>
      </c>
      <c r="P76" s="31">
        <v>1.6897836293791539</v>
      </c>
      <c r="Q76" s="31">
        <v>1.5236196821196339</v>
      </c>
      <c r="R76" s="31">
        <v>1.3876862146478171</v>
      </c>
      <c r="S76" s="31">
        <v>1.2773768824559839</v>
      </c>
      <c r="T76" s="31">
        <v>1.1884700403477699</v>
      </c>
      <c r="U76" s="31">
        <v>1.117128742438144</v>
      </c>
      <c r="V76" s="31">
        <v>1.059900742153411</v>
      </c>
      <c r="W76" s="31">
        <v>1.013718492231261</v>
      </c>
      <c r="X76" s="31">
        <v>0.97589914472069084</v>
      </c>
      <c r="Y76" s="31">
        <v>0.94414455098206473</v>
      </c>
      <c r="Z76" s="31">
        <v>0.91654126168706551</v>
      </c>
      <c r="AA76" s="31">
        <v>0.89156052681875075</v>
      </c>
      <c r="AB76" s="31">
        <v>0.86805829567147086</v>
      </c>
      <c r="AC76" s="32">
        <v>0.84527521685101104</v>
      </c>
    </row>
    <row r="77" spans="1:29" x14ac:dyDescent="0.25">
      <c r="A77" s="30">
        <v>50</v>
      </c>
      <c r="B77" s="31">
        <v>10.76581384741619</v>
      </c>
      <c r="C77" s="31">
        <v>9.4687859657203735</v>
      </c>
      <c r="D77" s="31">
        <v>8.3075099783991408</v>
      </c>
      <c r="E77" s="31">
        <v>7.2719696378040197</v>
      </c>
      <c r="F77" s="31">
        <v>6.3525333955979004</v>
      </c>
      <c r="G77" s="31">
        <v>5.5399544027550096</v>
      </c>
      <c r="H77" s="31">
        <v>4.8253705095609227</v>
      </c>
      <c r="I77" s="31">
        <v>4.2003042656125489</v>
      </c>
      <c r="J77" s="31">
        <v>3.6566629198181531</v>
      </c>
      <c r="K77" s="31">
        <v>3.186738420397337</v>
      </c>
      <c r="L77" s="31">
        <v>2.7832074148810668</v>
      </c>
      <c r="M77" s="31">
        <v>2.439131250111612</v>
      </c>
      <c r="N77" s="31">
        <v>2.147955972242634</v>
      </c>
      <c r="O77" s="31">
        <v>1.9035123267391041</v>
      </c>
      <c r="P77" s="31">
        <v>1.700015758377375</v>
      </c>
      <c r="Q77" s="31">
        <v>1.5320664112450819</v>
      </c>
      <c r="R77" s="31">
        <v>1.394649128741263</v>
      </c>
      <c r="S77" s="31">
        <v>1.2831334535763039</v>
      </c>
      <c r="T77" s="31">
        <v>1.193273627771898</v>
      </c>
      <c r="U77" s="31">
        <v>1.12120859266109</v>
      </c>
      <c r="V77" s="31">
        <v>1.0634619888882659</v>
      </c>
      <c r="W77" s="31">
        <v>1.016942156409204</v>
      </c>
      <c r="X77" s="31">
        <v>0.97894213449096434</v>
      </c>
      <c r="Y77" s="31">
        <v>0.94713966171199371</v>
      </c>
      <c r="Z77" s="31">
        <v>0.91959717596206447</v>
      </c>
      <c r="AA77" s="31">
        <v>0.89476181444232261</v>
      </c>
      <c r="AB77" s="31">
        <v>0.87146541366515606</v>
      </c>
      <c r="AC77" s="32">
        <v>0.84892450945445574</v>
      </c>
    </row>
    <row r="78" spans="1:29" x14ac:dyDescent="0.25">
      <c r="A78" s="30">
        <v>55</v>
      </c>
      <c r="B78" s="31">
        <v>10.846688263217979</v>
      </c>
      <c r="C78" s="31">
        <v>9.5410856364150778</v>
      </c>
      <c r="D78" s="31">
        <v>8.3718754252355243</v>
      </c>
      <c r="E78" s="31">
        <v>7.3290172692489381</v>
      </c>
      <c r="F78" s="31">
        <v>6.4028555073362856</v>
      </c>
      <c r="G78" s="31">
        <v>5.5841191776898613</v>
      </c>
      <c r="H78" s="31">
        <v>4.86392201781333</v>
      </c>
      <c r="I78" s="31">
        <v>4.2337624645216696</v>
      </c>
      <c r="J78" s="31">
        <v>3.6855236539412362</v>
      </c>
      <c r="K78" s="31">
        <v>3.2114734215097012</v>
      </c>
      <c r="L78" s="31">
        <v>2.8042643019760991</v>
      </c>
      <c r="M78" s="31">
        <v>2.4569335294008039</v>
      </c>
      <c r="N78" s="31">
        <v>2.1629030371555369</v>
      </c>
      <c r="O78" s="31">
        <v>1.915979457923346</v>
      </c>
      <c r="P78" s="31">
        <v>1.7103541236986639</v>
      </c>
      <c r="Q78" s="31">
        <v>1.5406030657872281</v>
      </c>
      <c r="R78" s="31">
        <v>1.4016870148061391</v>
      </c>
      <c r="S78" s="31">
        <v>1.2889514006838401</v>
      </c>
      <c r="T78" s="31">
        <v>1.19812635266011</v>
      </c>
      <c r="U78" s="31">
        <v>1.1253266992860991</v>
      </c>
      <c r="V78" s="31">
        <v>1.0670519684242601</v>
      </c>
      <c r="W78" s="31">
        <v>1.0201863872484329</v>
      </c>
      <c r="X78" s="31">
        <v>0.98199888224377063</v>
      </c>
      <c r="Y78" s="31">
        <v>0.95014307920681074</v>
      </c>
      <c r="Z78" s="31">
        <v>0.92265730324537332</v>
      </c>
      <c r="AA78" s="31">
        <v>0.89796457877869829</v>
      </c>
      <c r="AB78" s="31">
        <v>0.87487262953725808</v>
      </c>
      <c r="AC78" s="32">
        <v>0.85257387856301059</v>
      </c>
    </row>
    <row r="79" spans="1:29" x14ac:dyDescent="0.25">
      <c r="A79" s="30">
        <v>60</v>
      </c>
      <c r="B79" s="31">
        <v>10.92804030763557</v>
      </c>
      <c r="C79" s="31">
        <v>9.6138276012936892</v>
      </c>
      <c r="D79" s="31">
        <v>8.4366491892850188</v>
      </c>
      <c r="E79" s="31">
        <v>7.386440598397245</v>
      </c>
      <c r="F79" s="31">
        <v>6.4535220547294259</v>
      </c>
      <c r="G79" s="31">
        <v>5.6285984836919392</v>
      </c>
      <c r="H79" s="31">
        <v>4.9027595100065087</v>
      </c>
      <c r="I79" s="31">
        <v>4.267479457706215</v>
      </c>
      <c r="J79" s="31">
        <v>3.7146173501354709</v>
      </c>
      <c r="K79" s="31">
        <v>3.2364169099500382</v>
      </c>
      <c r="L79" s="31">
        <v>2.825506559117029</v>
      </c>
      <c r="M79" s="31">
        <v>2.4748994189148892</v>
      </c>
      <c r="N79" s="31">
        <v>2.177993309933429</v>
      </c>
      <c r="O79" s="31">
        <v>1.928570752073768</v>
      </c>
      <c r="P79" s="31">
        <v>1.7207989645484201</v>
      </c>
      <c r="Q79" s="31">
        <v>1.5492298658811861</v>
      </c>
      <c r="R79" s="31">
        <v>1.4088000739072719</v>
      </c>
      <c r="S79" s="31">
        <v>1.294830905773189</v>
      </c>
      <c r="T79" s="31">
        <v>1.203028377936789</v>
      </c>
      <c r="U79" s="31">
        <v>1.1294832061672919</v>
      </c>
      <c r="V79" s="31">
        <v>1.0706708055452501</v>
      </c>
      <c r="W79" s="31">
        <v>1.0234512904625801</v>
      </c>
      <c r="X79" s="31">
        <v>0.98506947462249006</v>
      </c>
      <c r="Y79" s="31">
        <v>0.9531548710396045</v>
      </c>
      <c r="Z79" s="31">
        <v>0.92572169203983645</v>
      </c>
      <c r="AA79" s="31">
        <v>0.90116884926049667</v>
      </c>
      <c r="AB79" s="31">
        <v>0.87827995365014988</v>
      </c>
      <c r="AC79" s="32">
        <v>0.85622331546882102</v>
      </c>
    </row>
    <row r="80" spans="1:29" x14ac:dyDescent="0.25">
      <c r="A80" s="30">
        <v>65</v>
      </c>
      <c r="B80" s="31">
        <v>11.00987048737931</v>
      </c>
      <c r="C80" s="31">
        <v>9.6870123479962889</v>
      </c>
      <c r="D80" s="31">
        <v>8.5018317391174403</v>
      </c>
      <c r="E80" s="31">
        <v>7.4442400747485191</v>
      </c>
      <c r="F80" s="31">
        <v>6.5045334682066516</v>
      </c>
      <c r="G80" s="31">
        <v>5.6733927321203126</v>
      </c>
      <c r="H80" s="31">
        <v>4.9418833784292948</v>
      </c>
      <c r="I80" s="31">
        <v>4.3014556183847494</v>
      </c>
      <c r="J80" s="31">
        <v>3.7439443625491808</v>
      </c>
      <c r="K80" s="31">
        <v>3.26156922079642</v>
      </c>
      <c r="L80" s="31">
        <v>2.8469345023116759</v>
      </c>
      <c r="M80" s="31">
        <v>2.493029215591446</v>
      </c>
      <c r="N80" s="31">
        <v>2.1932270684436319</v>
      </c>
      <c r="O80" s="31">
        <v>1.941286467987442</v>
      </c>
      <c r="P80" s="31">
        <v>1.731350520653443</v>
      </c>
      <c r="Q80" s="31">
        <v>1.557947032183536</v>
      </c>
      <c r="R80" s="31">
        <v>1.4159885076309979</v>
      </c>
      <c r="S80" s="31">
        <v>1.300772151360414</v>
      </c>
      <c r="T80" s="31">
        <v>1.2079798670477391</v>
      </c>
      <c r="U80" s="31">
        <v>1.1336782576802329</v>
      </c>
      <c r="V80" s="31">
        <v>1.0743186255565571</v>
      </c>
      <c r="W80" s="31">
        <v>1.026736972286681</v>
      </c>
      <c r="X80" s="31">
        <v>0.98815399879192412</v>
      </c>
      <c r="Y80" s="31">
        <v>0.95617510530495786</v>
      </c>
      <c r="Z80" s="31">
        <v>0.92879039136980535</v>
      </c>
      <c r="AA80" s="31">
        <v>0.90437465584180321</v>
      </c>
      <c r="AB80" s="31">
        <v>0.88168739688765696</v>
      </c>
      <c r="AC80" s="32">
        <v>0.85987281198540466</v>
      </c>
    </row>
    <row r="81" spans="1:29" x14ac:dyDescent="0.25">
      <c r="A81" s="30">
        <v>70</v>
      </c>
      <c r="B81" s="31">
        <v>11.09217930968093</v>
      </c>
      <c r="C81" s="31">
        <v>9.7606403646843756</v>
      </c>
      <c r="D81" s="31">
        <v>8.5674235438240345</v>
      </c>
      <c r="E81" s="31">
        <v>7.5024161483237508</v>
      </c>
      <c r="F81" s="31">
        <v>6.5558901787187169</v>
      </c>
      <c r="G81" s="31">
        <v>5.7185023348554784</v>
      </c>
      <c r="H81" s="31">
        <v>4.981294015891919</v>
      </c>
      <c r="I81" s="31">
        <v>4.3356913202972773</v>
      </c>
      <c r="J81" s="31">
        <v>3.7735050458521182</v>
      </c>
      <c r="K81" s="31">
        <v>3.2869306896483579</v>
      </c>
      <c r="L81" s="31">
        <v>2.868548448089276</v>
      </c>
      <c r="M81" s="31">
        <v>2.5113232168894601</v>
      </c>
      <c r="N81" s="31">
        <v>2.2086045910748879</v>
      </c>
      <c r="O81" s="31">
        <v>1.9541268649828449</v>
      </c>
      <c r="P81" s="31">
        <v>1.7420090322619819</v>
      </c>
      <c r="Q81" s="31">
        <v>1.566754785872269</v>
      </c>
      <c r="R81" s="31">
        <v>1.4232525180850579</v>
      </c>
      <c r="S81" s="31">
        <v>1.3067753204830279</v>
      </c>
      <c r="T81" s="31">
        <v>1.212980983960195</v>
      </c>
      <c r="U81" s="31">
        <v>1.1379119987219239</v>
      </c>
      <c r="V81" s="31">
        <v>1.077995554284918</v>
      </c>
      <c r="W81" s="31">
        <v>1.030043539477244</v>
      </c>
      <c r="X81" s="31">
        <v>0.99125254243831207</v>
      </c>
      <c r="Y81" s="31">
        <v>0.95920385061886293</v>
      </c>
      <c r="Z81" s="31">
        <v>0.93186345078098087</v>
      </c>
      <c r="AA81" s="31">
        <v>0.90758202899809648</v>
      </c>
      <c r="AB81" s="31">
        <v>0.88509497065498266</v>
      </c>
      <c r="AC81" s="32">
        <v>0.86352236044780284</v>
      </c>
    </row>
    <row r="82" spans="1:29" x14ac:dyDescent="0.25">
      <c r="A82" s="30">
        <v>75</v>
      </c>
      <c r="B82" s="31">
        <v>11.174967282293601</v>
      </c>
      <c r="C82" s="31">
        <v>9.8347121400408746</v>
      </c>
      <c r="D82" s="31">
        <v>8.6334250730174897</v>
      </c>
      <c r="E82" s="31">
        <v>7.5609692696653621</v>
      </c>
      <c r="F82" s="31">
        <v>6.6075926177377804</v>
      </c>
      <c r="G82" s="31">
        <v>5.7639277042993609</v>
      </c>
      <c r="H82" s="31">
        <v>5.0209918157260658</v>
      </c>
      <c r="I82" s="31">
        <v>4.3701869377052063</v>
      </c>
      <c r="J82" s="31">
        <v>3.8032997552354368</v>
      </c>
      <c r="K82" s="31">
        <v>3.3125016526267501</v>
      </c>
      <c r="L82" s="31">
        <v>2.890348713500495</v>
      </c>
      <c r="M82" s="31">
        <v>2.5297817207893489</v>
      </c>
      <c r="N82" s="31">
        <v>2.2241261567373649</v>
      </c>
      <c r="O82" s="31">
        <v>1.9670922028999001</v>
      </c>
      <c r="P82" s="31">
        <v>1.7527747401436971</v>
      </c>
      <c r="Q82" s="31">
        <v>1.575653348646785</v>
      </c>
      <c r="R82" s="31">
        <v>1.4305923078986089</v>
      </c>
      <c r="S82" s="31">
        <v>1.312840596699923</v>
      </c>
      <c r="T82" s="31">
        <v>1.218031893162816</v>
      </c>
      <c r="U82" s="31">
        <v>1.1421845747107311</v>
      </c>
      <c r="V82" s="31">
        <v>1.08170171807847</v>
      </c>
      <c r="W82" s="31">
        <v>1.033371099312163</v>
      </c>
      <c r="X82" s="31">
        <v>0.99436519376929577</v>
      </c>
      <c r="Y82" s="31">
        <v>0.96224117611868432</v>
      </c>
      <c r="Z82" s="31">
        <v>0.93494092034050902</v>
      </c>
      <c r="AA82" s="31">
        <v>0.9107909997262631</v>
      </c>
      <c r="AB82" s="31">
        <v>0.8885026868788054</v>
      </c>
      <c r="AC82" s="32">
        <v>0.86717195371236844</v>
      </c>
    </row>
    <row r="83" spans="1:29" x14ac:dyDescent="0.25">
      <c r="A83" s="33">
        <v>80</v>
      </c>
      <c r="B83" s="34">
        <v>11.25823491349197</v>
      </c>
      <c r="C83" s="34">
        <v>9.9092281632701606</v>
      </c>
      <c r="D83" s="34">
        <v>8.699836796831919</v>
      </c>
      <c r="E83" s="34">
        <v>7.6198998898372334</v>
      </c>
      <c r="F83" s="34">
        <v>6.6596412172574713</v>
      </c>
      <c r="G83" s="34">
        <v>5.8096692533753318</v>
      </c>
      <c r="H83" s="34">
        <v>5.0609771717848542</v>
      </c>
      <c r="I83" s="34">
        <v>4.404942845391421</v>
      </c>
      <c r="J83" s="34">
        <v>3.8333288464117721</v>
      </c>
      <c r="K83" s="34">
        <v>3.3382824463739791</v>
      </c>
      <c r="L83" s="34">
        <v>2.91233561611747</v>
      </c>
      <c r="M83" s="34">
        <v>2.5484050257929991</v>
      </c>
      <c r="N83" s="34">
        <v>2.2397920448626869</v>
      </c>
      <c r="O83" s="34">
        <v>1.980182742099982</v>
      </c>
      <c r="P83" s="34">
        <v>1.7636478855896991</v>
      </c>
      <c r="Q83" s="34">
        <v>1.5846429427279589</v>
      </c>
      <c r="R83" s="34">
        <v>1.4380080802222741</v>
      </c>
      <c r="S83" s="34">
        <v>1.318968164091475</v>
      </c>
      <c r="T83" s="34">
        <v>1.22313275966573</v>
      </c>
      <c r="U83" s="34">
        <v>1.146496131586568</v>
      </c>
      <c r="V83" s="34">
        <v>1.0854372438068649</v>
      </c>
      <c r="W83" s="34">
        <v>1.0367197595908271</v>
      </c>
      <c r="X83" s="34">
        <v>0.99749204151400583</v>
      </c>
      <c r="Y83" s="34">
        <v>0.96528715146333233</v>
      </c>
      <c r="Z83" s="34">
        <v>0.9380228506370476</v>
      </c>
      <c r="AA83" s="34">
        <v>0.91400159954471172</v>
      </c>
      <c r="AB83" s="34">
        <v>0.89191055800725039</v>
      </c>
      <c r="AC83" s="35">
        <v>0.87082158515701025</v>
      </c>
    </row>
    <row r="86" spans="1:29" ht="28.9" customHeight="1" x14ac:dyDescent="0.5">
      <c r="A86" s="1" t="s">
        <v>30</v>
      </c>
    </row>
    <row r="87" spans="1:29" ht="32.1" customHeight="1" x14ac:dyDescent="0.25"/>
    <row r="88" spans="1:29" x14ac:dyDescent="0.25">
      <c r="A88" s="2"/>
      <c r="B88" s="3"/>
      <c r="C88" s="3"/>
      <c r="D88" s="4"/>
    </row>
    <row r="89" spans="1:29" x14ac:dyDescent="0.25">
      <c r="A89" s="5" t="s">
        <v>31</v>
      </c>
      <c r="B89" s="6">
        <v>3.5259999999999998</v>
      </c>
      <c r="C89" s="6" t="s">
        <v>11</v>
      </c>
      <c r="D89" s="7"/>
    </row>
    <row r="90" spans="1:29" x14ac:dyDescent="0.25">
      <c r="A90" s="8"/>
      <c r="B90" s="9"/>
      <c r="C90" s="9"/>
      <c r="D90" s="10"/>
    </row>
    <row r="93" spans="1:29" ht="48" customHeight="1" x14ac:dyDescent="0.25">
      <c r="A93" s="21" t="s">
        <v>32</v>
      </c>
      <c r="B93" s="23" t="s">
        <v>33</v>
      </c>
    </row>
    <row r="94" spans="1:29" x14ac:dyDescent="0.25">
      <c r="A94" s="5">
        <v>0</v>
      </c>
      <c r="B94" s="32">
        <v>0.22</v>
      </c>
    </row>
    <row r="95" spans="1:29" x14ac:dyDescent="0.25">
      <c r="A95" s="5">
        <v>6.0999999999999999E-2</v>
      </c>
      <c r="B95" s="32">
        <v>0.25019366666666659</v>
      </c>
    </row>
    <row r="96" spans="1:29" x14ac:dyDescent="0.25">
      <c r="A96" s="5">
        <v>0.122</v>
      </c>
      <c r="B96" s="32">
        <v>0.23463239999999999</v>
      </c>
    </row>
    <row r="97" spans="1:2" x14ac:dyDescent="0.25">
      <c r="A97" s="5">
        <v>0.182</v>
      </c>
      <c r="B97" s="32">
        <v>0.19834600000000011</v>
      </c>
    </row>
    <row r="98" spans="1:2" x14ac:dyDescent="0.25">
      <c r="A98" s="5">
        <v>0.24299999999999999</v>
      </c>
      <c r="B98" s="32">
        <v>0.16379393333333339</v>
      </c>
    </row>
    <row r="99" spans="1:2" x14ac:dyDescent="0.25">
      <c r="A99" s="5">
        <v>0.30399999999999999</v>
      </c>
      <c r="B99" s="32">
        <v>0.1187372307692308</v>
      </c>
    </row>
    <row r="100" spans="1:2" x14ac:dyDescent="0.25">
      <c r="A100" s="5">
        <v>0.36499999999999999</v>
      </c>
      <c r="B100" s="32">
        <v>6.83689285714284E-2</v>
      </c>
    </row>
    <row r="101" spans="1:2" x14ac:dyDescent="0.25">
      <c r="A101" s="5">
        <v>0.42599999999999999</v>
      </c>
      <c r="B101" s="32">
        <v>1.8874600000000009E-2</v>
      </c>
    </row>
    <row r="102" spans="1:2" x14ac:dyDescent="0.25">
      <c r="A102" s="5">
        <v>0.48599999999999999</v>
      </c>
      <c r="B102" s="32">
        <v>4.1003000000000081E-2</v>
      </c>
    </row>
    <row r="103" spans="1:2" x14ac:dyDescent="0.25">
      <c r="A103" s="5">
        <v>0.54700000000000004</v>
      </c>
      <c r="B103" s="32">
        <v>4.5862666666666649E-2</v>
      </c>
    </row>
    <row r="104" spans="1:2" x14ac:dyDescent="0.25">
      <c r="A104" s="5">
        <v>0.60799999999999998</v>
      </c>
      <c r="B104" s="32">
        <v>2.5846000000000081E-2</v>
      </c>
    </row>
    <row r="105" spans="1:2" x14ac:dyDescent="0.25">
      <c r="A105" s="5">
        <v>0.66900000000000004</v>
      </c>
      <c r="B105" s="32">
        <v>2.5113999999999859E-2</v>
      </c>
    </row>
    <row r="106" spans="1:2" x14ac:dyDescent="0.25">
      <c r="A106" s="5">
        <v>0.73</v>
      </c>
      <c r="B106" s="32">
        <v>7.2166666666673152E-4</v>
      </c>
    </row>
    <row r="107" spans="1:2" x14ac:dyDescent="0.25">
      <c r="A107" s="5">
        <v>0.79</v>
      </c>
      <c r="B107" s="32">
        <v>-1.7914949494949321E-2</v>
      </c>
    </row>
    <row r="108" spans="1:2" x14ac:dyDescent="0.25">
      <c r="A108" s="5">
        <v>0.85099999999999998</v>
      </c>
      <c r="B108" s="32">
        <v>-2.457072727272731E-2</v>
      </c>
    </row>
    <row r="109" spans="1:2" x14ac:dyDescent="0.25">
      <c r="A109" s="5">
        <v>0.91200000000000003</v>
      </c>
      <c r="B109" s="32">
        <v>-3.1226505050504949E-2</v>
      </c>
    </row>
    <row r="110" spans="1:2" x14ac:dyDescent="0.25">
      <c r="A110" s="5">
        <v>0.97299999999999998</v>
      </c>
      <c r="B110" s="32">
        <v>-3.7326382978723441E-2</v>
      </c>
    </row>
    <row r="111" spans="1:2" x14ac:dyDescent="0.25">
      <c r="A111" s="5">
        <v>1.034</v>
      </c>
      <c r="B111" s="32">
        <v>-3.807914893617035E-2</v>
      </c>
    </row>
    <row r="112" spans="1:2" x14ac:dyDescent="0.25">
      <c r="A112" s="5">
        <v>1.0940000000000001</v>
      </c>
      <c r="B112" s="32">
        <v>-3.8819574468085351E-2</v>
      </c>
    </row>
    <row r="113" spans="1:2" x14ac:dyDescent="0.25">
      <c r="A113" s="5">
        <v>1.155</v>
      </c>
      <c r="B113" s="32">
        <v>-3.9572340425531927E-2</v>
      </c>
    </row>
    <row r="114" spans="1:2" x14ac:dyDescent="0.25">
      <c r="A114" s="5">
        <v>1.216</v>
      </c>
      <c r="B114" s="32">
        <v>-3.9332173913043618E-2</v>
      </c>
    </row>
    <row r="115" spans="1:2" x14ac:dyDescent="0.25">
      <c r="A115" s="5">
        <v>1.2769999999999999</v>
      </c>
      <c r="B115" s="32">
        <v>-3.8775217391304323E-2</v>
      </c>
    </row>
    <row r="116" spans="1:2" x14ac:dyDescent="0.25">
      <c r="A116" s="5">
        <v>1.3380000000000001</v>
      </c>
      <c r="B116" s="32">
        <v>-3.8218260869565458E-2</v>
      </c>
    </row>
    <row r="117" spans="1:2" x14ac:dyDescent="0.25">
      <c r="A117" s="5">
        <v>1.3979999999999999</v>
      </c>
      <c r="B117" s="32">
        <v>-3.7670434782608772E-2</v>
      </c>
    </row>
    <row r="118" spans="1:2" x14ac:dyDescent="0.25">
      <c r="A118" s="5">
        <v>1.4590000000000001</v>
      </c>
      <c r="B118" s="32">
        <v>-3.7113478260869678E-2</v>
      </c>
    </row>
    <row r="119" spans="1:2" x14ac:dyDescent="0.25">
      <c r="A119" s="5">
        <v>1.52</v>
      </c>
      <c r="B119" s="32">
        <v>-3.4127272727272777E-2</v>
      </c>
    </row>
    <row r="120" spans="1:2" x14ac:dyDescent="0.25">
      <c r="A120" s="5">
        <v>1.581</v>
      </c>
      <c r="B120" s="32">
        <v>-3.077227272727295E-2</v>
      </c>
    </row>
    <row r="121" spans="1:2" x14ac:dyDescent="0.25">
      <c r="A121" s="5">
        <v>1.6419999999999999</v>
      </c>
      <c r="B121" s="32">
        <v>-2.7417272727273109E-2</v>
      </c>
    </row>
    <row r="122" spans="1:2" x14ac:dyDescent="0.25">
      <c r="A122" s="5">
        <v>1.702</v>
      </c>
      <c r="B122" s="32">
        <v>-2.4117272727273022E-2</v>
      </c>
    </row>
    <row r="123" spans="1:2" x14ac:dyDescent="0.25">
      <c r="A123" s="5">
        <v>1.7629999999999999</v>
      </c>
      <c r="B123" s="32">
        <v>-2.0762272727273049E-2</v>
      </c>
    </row>
    <row r="124" spans="1:2" x14ac:dyDescent="0.25">
      <c r="A124" s="5">
        <v>1.8240000000000001</v>
      </c>
      <c r="B124" s="32">
        <v>-1.740727272727316E-2</v>
      </c>
    </row>
    <row r="125" spans="1:2" x14ac:dyDescent="0.25">
      <c r="A125" s="5">
        <v>1.885</v>
      </c>
      <c r="B125" s="32">
        <v>-1.4052272727273061E-2</v>
      </c>
    </row>
    <row r="126" spans="1:2" x14ac:dyDescent="0.25">
      <c r="A126" s="5">
        <v>1.946</v>
      </c>
      <c r="B126" s="32">
        <v>-1.0861240216737129E-2</v>
      </c>
    </row>
    <row r="127" spans="1:2" x14ac:dyDescent="0.25">
      <c r="A127" s="5">
        <v>2.0059999999999998</v>
      </c>
      <c r="B127" s="32">
        <v>-9.3660044150114165E-3</v>
      </c>
    </row>
    <row r="128" spans="1:2" x14ac:dyDescent="0.25">
      <c r="A128" s="5">
        <v>2.0670000000000002</v>
      </c>
      <c r="B128" s="32">
        <v>-7.857836644591781E-3</v>
      </c>
    </row>
    <row r="129" spans="1:2" x14ac:dyDescent="0.25">
      <c r="A129" s="5">
        <v>2.1280000000000001</v>
      </c>
      <c r="B129" s="32">
        <v>-6.3496688741725158E-3</v>
      </c>
    </row>
    <row r="130" spans="1:2" x14ac:dyDescent="0.25">
      <c r="A130" s="5">
        <v>2.1890000000000001</v>
      </c>
      <c r="B130" s="32">
        <v>-4.8415011037527189E-3</v>
      </c>
    </row>
    <row r="131" spans="1:2" x14ac:dyDescent="0.25">
      <c r="A131" s="5">
        <v>2.25</v>
      </c>
      <c r="B131" s="32">
        <v>-3.3333333333336319E-3</v>
      </c>
    </row>
    <row r="132" spans="1:2" x14ac:dyDescent="0.25">
      <c r="A132" s="5">
        <v>2.31</v>
      </c>
      <c r="B132" s="32">
        <v>-1.8498896247243211E-3</v>
      </c>
    </row>
    <row r="133" spans="1:2" x14ac:dyDescent="0.25">
      <c r="A133" s="5">
        <v>2.371</v>
      </c>
      <c r="B133" s="32">
        <v>-3.4172185430487941E-4</v>
      </c>
    </row>
    <row r="134" spans="1:2" x14ac:dyDescent="0.25">
      <c r="A134" s="5">
        <v>2.4319999999999999</v>
      </c>
      <c r="B134" s="32">
        <v>1.166445916114651E-3</v>
      </c>
    </row>
    <row r="135" spans="1:2" x14ac:dyDescent="0.25">
      <c r="A135" s="5">
        <v>2.4929999999999999</v>
      </c>
      <c r="B135" s="32">
        <v>2.6746136865340039E-3</v>
      </c>
    </row>
    <row r="136" spans="1:2" x14ac:dyDescent="0.25">
      <c r="A136" s="5">
        <v>2.5539999999999998</v>
      </c>
      <c r="B136" s="32">
        <v>4.1827814569534456E-3</v>
      </c>
    </row>
    <row r="137" spans="1:2" x14ac:dyDescent="0.25">
      <c r="A137" s="5">
        <v>2.6139999999999999</v>
      </c>
      <c r="B137" s="32">
        <v>5.6662251655627636E-3</v>
      </c>
    </row>
    <row r="138" spans="1:2" x14ac:dyDescent="0.25">
      <c r="A138" s="5">
        <v>2.6749999999999998</v>
      </c>
      <c r="B138" s="32">
        <v>7.1743929359819828E-3</v>
      </c>
    </row>
    <row r="139" spans="1:2" x14ac:dyDescent="0.25">
      <c r="A139" s="5">
        <v>2.7360000000000002</v>
      </c>
      <c r="B139" s="32">
        <v>8.6825607064016565E-3</v>
      </c>
    </row>
    <row r="140" spans="1:2" x14ac:dyDescent="0.25">
      <c r="A140" s="5">
        <v>2.7970000000000002</v>
      </c>
      <c r="B140" s="32">
        <v>1.0190728476820961E-2</v>
      </c>
    </row>
    <row r="141" spans="1:2" x14ac:dyDescent="0.25">
      <c r="A141" s="5">
        <v>2.8580000000000001</v>
      </c>
      <c r="B141" s="32">
        <v>1.1698896247240459E-2</v>
      </c>
    </row>
    <row r="142" spans="1:2" x14ac:dyDescent="0.25">
      <c r="A142" s="5">
        <v>2.9180000000000001</v>
      </c>
      <c r="B142" s="32">
        <v>1.3083533696095139E-2</v>
      </c>
    </row>
    <row r="143" spans="1:2" x14ac:dyDescent="0.25">
      <c r="A143" s="5">
        <v>2.9790000000000001</v>
      </c>
      <c r="B143" s="32">
        <v>1.225647558386442E-2</v>
      </c>
    </row>
    <row r="144" spans="1:2" x14ac:dyDescent="0.25">
      <c r="A144" s="5">
        <v>3.04</v>
      </c>
      <c r="B144" s="32">
        <v>1.1375796178344061E-2</v>
      </c>
    </row>
    <row r="145" spans="1:2" x14ac:dyDescent="0.25">
      <c r="A145" s="5">
        <v>3.101</v>
      </c>
      <c r="B145" s="32">
        <v>1.0495116772823601E-2</v>
      </c>
    </row>
    <row r="146" spans="1:2" x14ac:dyDescent="0.25">
      <c r="A146" s="5">
        <v>3.1619999999999999</v>
      </c>
      <c r="B146" s="32">
        <v>9.6144373673031445E-3</v>
      </c>
    </row>
    <row r="147" spans="1:2" x14ac:dyDescent="0.25">
      <c r="A147" s="5">
        <v>3.222</v>
      </c>
      <c r="B147" s="32">
        <v>8.7481953290864858E-3</v>
      </c>
    </row>
    <row r="148" spans="1:2" x14ac:dyDescent="0.25">
      <c r="A148" s="5">
        <v>3.2829999999999999</v>
      </c>
      <c r="B148" s="32">
        <v>7.8675159235667407E-3</v>
      </c>
    </row>
    <row r="149" spans="1:2" x14ac:dyDescent="0.25">
      <c r="A149" s="5">
        <v>3.3439999999999999</v>
      </c>
      <c r="B149" s="32">
        <v>6.9868365180465472E-3</v>
      </c>
    </row>
    <row r="150" spans="1:2" x14ac:dyDescent="0.25">
      <c r="A150" s="5">
        <v>3.4049999999999998</v>
      </c>
      <c r="B150" s="32">
        <v>6.1061571125264934E-3</v>
      </c>
    </row>
    <row r="151" spans="1:2" x14ac:dyDescent="0.25">
      <c r="A151" s="5">
        <v>3.4660000000000002</v>
      </c>
      <c r="B151" s="32">
        <v>5.2254777070060753E-3</v>
      </c>
    </row>
    <row r="152" spans="1:2" x14ac:dyDescent="0.25">
      <c r="A152" s="5">
        <v>3.5259999999999998</v>
      </c>
      <c r="B152" s="32">
        <v>0</v>
      </c>
    </row>
    <row r="153" spans="1:2" x14ac:dyDescent="0.25">
      <c r="A153" s="5">
        <v>3.5870000000000002</v>
      </c>
      <c r="B153" s="32">
        <v>0</v>
      </c>
    </row>
    <row r="154" spans="1:2" x14ac:dyDescent="0.25">
      <c r="A154" s="5">
        <v>3.6480000000000001</v>
      </c>
      <c r="B154" s="32">
        <v>0</v>
      </c>
    </row>
    <row r="155" spans="1:2" x14ac:dyDescent="0.25">
      <c r="A155" s="5">
        <v>3.7090000000000001</v>
      </c>
      <c r="B155" s="32">
        <v>0</v>
      </c>
    </row>
    <row r="156" spans="1:2" x14ac:dyDescent="0.25">
      <c r="A156" s="5">
        <v>3.77</v>
      </c>
      <c r="B156" s="32">
        <v>0</v>
      </c>
    </row>
    <row r="157" spans="1:2" x14ac:dyDescent="0.25">
      <c r="A157" s="5">
        <v>3.83</v>
      </c>
      <c r="B157" s="32">
        <v>0</v>
      </c>
    </row>
    <row r="158" spans="1:2" x14ac:dyDescent="0.25">
      <c r="A158" s="5">
        <v>3.891</v>
      </c>
      <c r="B158" s="32">
        <v>0</v>
      </c>
    </row>
    <row r="159" spans="1:2" x14ac:dyDescent="0.25">
      <c r="A159" s="5">
        <v>3.952</v>
      </c>
      <c r="B159" s="32">
        <v>0</v>
      </c>
    </row>
    <row r="160" spans="1:2" x14ac:dyDescent="0.25">
      <c r="A160" s="8">
        <v>4.0129999999999999</v>
      </c>
      <c r="B160" s="35">
        <v>0</v>
      </c>
    </row>
  </sheetData>
  <sheetProtection algorithmName="SHA-512" hashValue="BC0OkrLO35Tbsz4s53WQ/mkWvGmoHCMs8lonskNzpveg/eI1Yw4ZCcCPWyasC1A1jgyUOUfHfkCg6LmyfQ0iTg==" saltValue="CzmbX9wEwhA293BqBlXHIw==" spinCount="100000" sheet="1" objects="1" scenarios="1"/>
  <protectedRanges>
    <protectedRange sqref="B36" name="Range1"/>
  </protectedRange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5:AH126"/>
  <sheetViews>
    <sheetView workbookViewId="0">
      <selection activeCell="B36" sqref="B36"/>
    </sheetView>
  </sheetViews>
  <sheetFormatPr defaultRowHeight="15" x14ac:dyDescent="0.25"/>
  <cols>
    <col min="1" max="1" width="30.7109375" customWidth="1"/>
  </cols>
  <sheetData>
    <row r="15" spans="1:4" ht="28.9" customHeight="1" x14ac:dyDescent="0.5">
      <c r="A15" s="1" t="s">
        <v>34</v>
      </c>
      <c r="B15" s="1"/>
    </row>
    <row r="16" spans="1:4" x14ac:dyDescent="0.25">
      <c r="A16" s="2"/>
      <c r="B16" s="3"/>
      <c r="C16" s="3"/>
      <c r="D16" s="4"/>
    </row>
    <row r="17" spans="1:4" x14ac:dyDescent="0.25">
      <c r="A17" s="5" t="s">
        <v>1</v>
      </c>
      <c r="B17" s="6" t="s">
        <v>43</v>
      </c>
      <c r="C17" s="6"/>
      <c r="D17" s="7"/>
    </row>
    <row r="18" spans="1:4" x14ac:dyDescent="0.25">
      <c r="A18" s="5" t="s">
        <v>2</v>
      </c>
      <c r="B18" s="6" t="s">
        <v>3</v>
      </c>
      <c r="C18" s="6"/>
      <c r="D18" s="7"/>
    </row>
    <row r="19" spans="1:4" x14ac:dyDescent="0.25">
      <c r="A19" s="5" t="s">
        <v>4</v>
      </c>
      <c r="B19" s="6" t="s">
        <v>5</v>
      </c>
      <c r="C19" s="6"/>
      <c r="D19" s="7"/>
    </row>
    <row r="20" spans="1:4" x14ac:dyDescent="0.25">
      <c r="A20" s="8"/>
      <c r="B20" s="9"/>
      <c r="C20" s="9"/>
      <c r="D20" s="10"/>
    </row>
    <row r="22" spans="1:4" x14ac:dyDescent="0.25">
      <c r="A22" s="2"/>
      <c r="B22" s="11"/>
      <c r="C22" s="11"/>
      <c r="D22" s="12"/>
    </row>
    <row r="23" spans="1:4" x14ac:dyDescent="0.25">
      <c r="A23" s="5" t="s">
        <v>6</v>
      </c>
      <c r="B23" s="13">
        <v>300</v>
      </c>
      <c r="C23" s="13" t="s">
        <v>7</v>
      </c>
      <c r="D23" s="14"/>
    </row>
    <row r="24" spans="1:4" x14ac:dyDescent="0.25">
      <c r="A24" s="5" t="s">
        <v>8</v>
      </c>
      <c r="B24" s="13">
        <v>14</v>
      </c>
      <c r="C24" s="13" t="s">
        <v>9</v>
      </c>
      <c r="D24" s="14"/>
    </row>
    <row r="25" spans="1:4" x14ac:dyDescent="0.25">
      <c r="A25" s="8"/>
      <c r="B25" s="15"/>
      <c r="C25" s="15"/>
      <c r="D25" s="16"/>
    </row>
    <row r="29" spans="1:4" x14ac:dyDescent="0.25">
      <c r="A29" s="2"/>
      <c r="B29" s="3"/>
      <c r="C29" s="3"/>
      <c r="D29" s="4"/>
    </row>
    <row r="30" spans="1:4" x14ac:dyDescent="0.25">
      <c r="A30" s="5" t="s">
        <v>10</v>
      </c>
      <c r="B30" s="6">
        <v>0.31000000000000011</v>
      </c>
      <c r="C30" s="6" t="s">
        <v>11</v>
      </c>
      <c r="D30" s="7"/>
    </row>
    <row r="31" spans="1:4" x14ac:dyDescent="0.25">
      <c r="A31" s="8"/>
      <c r="B31" s="9"/>
      <c r="C31" s="9"/>
      <c r="D31" s="10"/>
    </row>
    <row r="34" spans="1:5" ht="28.9" customHeight="1" x14ac:dyDescent="0.5">
      <c r="A34" s="1" t="s">
        <v>12</v>
      </c>
    </row>
    <row r="36" spans="1:5" x14ac:dyDescent="0.25">
      <c r="A36" s="17" t="s">
        <v>13</v>
      </c>
      <c r="B36" s="17">
        <v>100</v>
      </c>
      <c r="C36" s="17" t="s">
        <v>14</v>
      </c>
      <c r="D36" s="17" t="s">
        <v>15</v>
      </c>
      <c r="E36" s="17"/>
    </row>
    <row r="37" spans="1:5" hidden="1" x14ac:dyDescent="0.25">
      <c r="A37" s="17" t="s">
        <v>16</v>
      </c>
      <c r="B37" s="17">
        <v>14.7</v>
      </c>
      <c r="C37" s="17"/>
      <c r="D37" s="17" t="s">
        <v>15</v>
      </c>
      <c r="E37" s="17"/>
    </row>
    <row r="38" spans="1:5" hidden="1" x14ac:dyDescent="0.25">
      <c r="A38" s="17" t="s">
        <v>17</v>
      </c>
      <c r="B38" s="17">
        <v>9.0079999999999991</v>
      </c>
      <c r="C38" s="17"/>
      <c r="D38" s="17" t="s">
        <v>15</v>
      </c>
      <c r="E38" s="17"/>
    </row>
    <row r="40" spans="1:5" ht="48" customHeight="1" x14ac:dyDescent="0.25">
      <c r="A40" s="18" t="s">
        <v>18</v>
      </c>
      <c r="B40" s="19" t="s">
        <v>19</v>
      </c>
      <c r="C40" s="19" t="s">
        <v>20</v>
      </c>
      <c r="D40" s="19" t="s">
        <v>21</v>
      </c>
      <c r="E40" s="20" t="s">
        <v>22</v>
      </c>
    </row>
    <row r="41" spans="1:5" x14ac:dyDescent="0.25">
      <c r="A41" s="5">
        <v>0</v>
      </c>
      <c r="B41" s="6">
        <v>77.771477451101447</v>
      </c>
      <c r="C41" s="6">
        <f>77.7714774511014 * $B$36 / 100</f>
        <v>77.771477451101404</v>
      </c>
      <c r="D41" s="6">
        <v>9.7990333333333339</v>
      </c>
      <c r="E41" s="7">
        <f>9.79903333333333 * $B$36 / 100</f>
        <v>9.7990333333333304</v>
      </c>
    </row>
    <row r="42" spans="1:5" x14ac:dyDescent="0.25">
      <c r="A42" s="5">
        <v>5</v>
      </c>
      <c r="B42" s="6">
        <v>78.237391752940979</v>
      </c>
      <c r="C42" s="6">
        <f>78.2373917529409 * $B$36 / 100</f>
        <v>78.237391752940894</v>
      </c>
      <c r="D42" s="6">
        <v>9.8577375000000007</v>
      </c>
      <c r="E42" s="7">
        <f>9.8577375 * $B$36 / 100</f>
        <v>9.8577375000000007</v>
      </c>
    </row>
    <row r="43" spans="1:5" x14ac:dyDescent="0.25">
      <c r="A43" s="5">
        <v>10</v>
      </c>
      <c r="B43" s="6">
        <v>78.703306054780526</v>
      </c>
      <c r="C43" s="6">
        <f>78.7033060547805 * $B$36 / 100</f>
        <v>78.703306054780498</v>
      </c>
      <c r="D43" s="6">
        <v>9.9164416666666693</v>
      </c>
      <c r="E43" s="7">
        <f>9.91644166666667 * $B$36 / 100</f>
        <v>9.9164416666666693</v>
      </c>
    </row>
    <row r="44" spans="1:5" x14ac:dyDescent="0.25">
      <c r="A44" s="5">
        <v>15</v>
      </c>
      <c r="B44" s="6">
        <v>79.169220356620059</v>
      </c>
      <c r="C44" s="6">
        <f>79.16922035662 * $B$36 / 100</f>
        <v>79.169220356620002</v>
      </c>
      <c r="D44" s="6">
        <v>9.9751458333333343</v>
      </c>
      <c r="E44" s="7">
        <f>9.97514583333333 * $B$36 / 100</f>
        <v>9.9751458333333307</v>
      </c>
    </row>
    <row r="45" spans="1:5" x14ac:dyDescent="0.25">
      <c r="A45" s="5">
        <v>20</v>
      </c>
      <c r="B45" s="6">
        <v>79.635134658459592</v>
      </c>
      <c r="C45" s="6">
        <f>79.6351346584595 * $B$36 / 100</f>
        <v>79.635134658459506</v>
      </c>
      <c r="D45" s="6">
        <v>10.033849999999999</v>
      </c>
      <c r="E45" s="7">
        <f>10.03385 * $B$36 / 100</f>
        <v>10.033849999999999</v>
      </c>
    </row>
    <row r="46" spans="1:5" x14ac:dyDescent="0.25">
      <c r="A46" s="5">
        <v>25</v>
      </c>
      <c r="B46" s="6">
        <v>80.101048960299138</v>
      </c>
      <c r="C46" s="6">
        <f>80.1010489602991 * $B$36 / 100</f>
        <v>80.101048960299096</v>
      </c>
      <c r="D46" s="6">
        <v>10.09255416666667</v>
      </c>
      <c r="E46" s="7">
        <f>10.0925541666666 * $B$36 / 100</f>
        <v>10.0925541666666</v>
      </c>
    </row>
    <row r="47" spans="1:5" x14ac:dyDescent="0.25">
      <c r="A47" s="5">
        <v>30</v>
      </c>
      <c r="B47" s="6">
        <v>80.566963262138671</v>
      </c>
      <c r="C47" s="6">
        <f>80.5669632621386 * $B$36 / 100</f>
        <v>80.5669632621386</v>
      </c>
      <c r="D47" s="6">
        <v>10.151258333333329</v>
      </c>
      <c r="E47" s="7">
        <f>10.1512583333333 * $B$36 / 100</f>
        <v>10.151258333333301</v>
      </c>
    </row>
    <row r="48" spans="1:5" x14ac:dyDescent="0.25">
      <c r="A48" s="5">
        <v>35</v>
      </c>
      <c r="B48" s="6">
        <v>81.032877563978204</v>
      </c>
      <c r="C48" s="6">
        <f>81.0328775639782 * $B$36 / 100</f>
        <v>81.032877563978204</v>
      </c>
      <c r="D48" s="6">
        <v>10.2099625</v>
      </c>
      <c r="E48" s="7">
        <f>10.2099625 * $B$36 / 100</f>
        <v>10.2099625</v>
      </c>
    </row>
    <row r="49" spans="1:18" x14ac:dyDescent="0.25">
      <c r="A49" s="5">
        <v>40</v>
      </c>
      <c r="B49" s="6">
        <v>81.498791865817751</v>
      </c>
      <c r="C49" s="6">
        <f>81.4987918658177 * $B$36 / 100</f>
        <v>81.498791865817694</v>
      </c>
      <c r="D49" s="6">
        <v>10.26866666666667</v>
      </c>
      <c r="E49" s="7">
        <f>10.2686666666666 * $B$36 / 100</f>
        <v>10.268666666666599</v>
      </c>
    </row>
    <row r="50" spans="1:18" x14ac:dyDescent="0.25">
      <c r="A50" s="5">
        <v>45</v>
      </c>
      <c r="B50" s="6">
        <v>81.964706167657283</v>
      </c>
      <c r="C50" s="6">
        <f>81.9647061676572 * $B$36 / 100</f>
        <v>81.964706167657198</v>
      </c>
      <c r="D50" s="6">
        <v>10.32737083333333</v>
      </c>
      <c r="E50" s="7">
        <f>10.3273708333333 * $B$36 / 100</f>
        <v>10.327370833333299</v>
      </c>
    </row>
    <row r="51" spans="1:18" x14ac:dyDescent="0.25">
      <c r="A51" s="5">
        <v>50</v>
      </c>
      <c r="B51" s="6">
        <v>82.43062046949683</v>
      </c>
      <c r="C51" s="6">
        <f>82.4306204694968 * $B$36 / 100</f>
        <v>82.430620469496802</v>
      </c>
      <c r="D51" s="6">
        <v>10.386075</v>
      </c>
      <c r="E51" s="7">
        <f>10.386075 * $B$36 / 100</f>
        <v>10.386075</v>
      </c>
    </row>
    <row r="52" spans="1:18" x14ac:dyDescent="0.25">
      <c r="A52" s="5">
        <v>55</v>
      </c>
      <c r="B52" s="6">
        <v>82.896534771336363</v>
      </c>
      <c r="C52" s="6">
        <f>82.8965347713363 * $B$36 / 100</f>
        <v>82.896534771336306</v>
      </c>
      <c r="D52" s="6">
        <v>10.44477916666667</v>
      </c>
      <c r="E52" s="7">
        <f>10.4447791666666 * $B$36 / 100</f>
        <v>10.444779166666599</v>
      </c>
    </row>
    <row r="53" spans="1:18" x14ac:dyDescent="0.25">
      <c r="A53" s="5">
        <v>60</v>
      </c>
      <c r="B53" s="6">
        <v>83.362449073175895</v>
      </c>
      <c r="C53" s="6">
        <f>83.3624490731759 * $B$36 / 100</f>
        <v>83.36244907317591</v>
      </c>
      <c r="D53" s="6">
        <v>10.50348333333333</v>
      </c>
      <c r="E53" s="7">
        <f>10.5034833333333 * $B$36 / 100</f>
        <v>10.5034833333333</v>
      </c>
    </row>
    <row r="54" spans="1:18" x14ac:dyDescent="0.25">
      <c r="A54" s="5">
        <v>65</v>
      </c>
      <c r="B54" s="6">
        <v>83.828363375015442</v>
      </c>
      <c r="C54" s="6">
        <f>83.8283633750154 * $B$36 / 100</f>
        <v>83.8283633750154</v>
      </c>
      <c r="D54" s="6">
        <v>10.5621875</v>
      </c>
      <c r="E54" s="7">
        <f>10.5621875 * $B$36 / 100</f>
        <v>10.5621875</v>
      </c>
    </row>
    <row r="55" spans="1:18" x14ac:dyDescent="0.25">
      <c r="A55" s="5">
        <v>70</v>
      </c>
      <c r="B55" s="6">
        <v>84.294277676854975</v>
      </c>
      <c r="C55" s="6">
        <f>84.2942776768549 * $B$36 / 100</f>
        <v>84.294277676854904</v>
      </c>
      <c r="D55" s="6">
        <v>10.620891666666671</v>
      </c>
      <c r="E55" s="7">
        <f>10.6208916666666 * $B$36 / 100</f>
        <v>10.620891666666601</v>
      </c>
    </row>
    <row r="56" spans="1:18" x14ac:dyDescent="0.25">
      <c r="A56" s="5">
        <v>75</v>
      </c>
      <c r="B56" s="6">
        <v>84.760191978694507</v>
      </c>
      <c r="C56" s="6">
        <f>84.7601919786945 * $B$36 / 100</f>
        <v>84.760191978694493</v>
      </c>
      <c r="D56" s="6">
        <v>10.67959583333333</v>
      </c>
      <c r="E56" s="7">
        <f>10.6795958333333 * $B$36 / 100</f>
        <v>10.679595833333302</v>
      </c>
    </row>
    <row r="57" spans="1:18" x14ac:dyDescent="0.25">
      <c r="A57" s="8">
        <v>80</v>
      </c>
      <c r="B57" s="9">
        <v>85.226106280534054</v>
      </c>
      <c r="C57" s="9">
        <f>85.226106280534 * $B$36 / 100</f>
        <v>85.226106280533998</v>
      </c>
      <c r="D57" s="9">
        <v>10.738300000000001</v>
      </c>
      <c r="E57" s="10">
        <f>10.7383 * $B$36 / 100</f>
        <v>10.738300000000002</v>
      </c>
    </row>
    <row r="59" spans="1:18" ht="28.9" customHeight="1" x14ac:dyDescent="0.5">
      <c r="A59" s="1" t="s">
        <v>23</v>
      </c>
      <c r="B59" s="1"/>
    </row>
    <row r="60" spans="1:18" x14ac:dyDescent="0.25">
      <c r="A60" s="21" t="s">
        <v>24</v>
      </c>
      <c r="B60" s="22">
        <v>0</v>
      </c>
      <c r="C60" s="22">
        <v>6.25</v>
      </c>
      <c r="D60" s="22">
        <v>12.5</v>
      </c>
      <c r="E60" s="22">
        <v>18.75</v>
      </c>
      <c r="F60" s="22">
        <v>25</v>
      </c>
      <c r="G60" s="22">
        <v>31.25</v>
      </c>
      <c r="H60" s="22">
        <v>37.5</v>
      </c>
      <c r="I60" s="22">
        <v>43.75</v>
      </c>
      <c r="J60" s="22">
        <v>50</v>
      </c>
      <c r="K60" s="22">
        <v>56.25</v>
      </c>
      <c r="L60" s="22">
        <v>62.5</v>
      </c>
      <c r="M60" s="22">
        <v>68.75</v>
      </c>
      <c r="N60" s="22">
        <v>75</v>
      </c>
      <c r="O60" s="22">
        <v>81.25</v>
      </c>
      <c r="P60" s="22">
        <v>87.5</v>
      </c>
      <c r="Q60" s="22">
        <v>93.75</v>
      </c>
      <c r="R60" s="23">
        <v>100</v>
      </c>
    </row>
    <row r="61" spans="1:18" x14ac:dyDescent="0.25">
      <c r="A61" s="5" t="s">
        <v>25</v>
      </c>
      <c r="B61" s="6">
        <f>0 * $B$38 + (1 - 0) * $B$37</f>
        <v>14.7</v>
      </c>
      <c r="C61" s="6">
        <f>0.0625 * $B$38 + (1 - 0.0625) * $B$37</f>
        <v>14.344250000000001</v>
      </c>
      <c r="D61" s="6">
        <f>0.125 * $B$38 + (1 - 0.125) * $B$37</f>
        <v>13.988499999999998</v>
      </c>
      <c r="E61" s="6">
        <f>0.1875 * $B$38 + (1 - 0.1875) * $B$37</f>
        <v>13.63275</v>
      </c>
      <c r="F61" s="6">
        <f>0.25 * $B$38 + (1 - 0.25) * $B$37</f>
        <v>13.276999999999997</v>
      </c>
      <c r="G61" s="6">
        <f>0.3125 * $B$38 + (1 - 0.3125) * $B$37</f>
        <v>12.921249999999999</v>
      </c>
      <c r="H61" s="6">
        <f>0.375 * $B$38 + (1 - 0.375) * $B$37</f>
        <v>12.5655</v>
      </c>
      <c r="I61" s="6">
        <f>0.4375 * $B$38 + (1 - 0.4375) * $B$37</f>
        <v>12.20975</v>
      </c>
      <c r="J61" s="6">
        <f>0.5 * $B$38 + (1 - 0.5) * $B$37</f>
        <v>11.853999999999999</v>
      </c>
      <c r="K61" s="6">
        <f>0.5625 * $B$38 + (1 - 0.5625) * $B$37</f>
        <v>11.498249999999999</v>
      </c>
      <c r="L61" s="6">
        <f>0.625 * $B$38 + (1 - 0.625) * $B$37</f>
        <v>11.142499999999998</v>
      </c>
      <c r="M61" s="6">
        <f>0.6875 * $B$38 + (1 - 0.6875) * $B$37</f>
        <v>10.78675</v>
      </c>
      <c r="N61" s="6">
        <f>0.75 * $B$38 + (1 - 0.75) * $B$37</f>
        <v>10.430999999999999</v>
      </c>
      <c r="O61" s="6">
        <f>0.8125 * $B$38 + (1 - 0.8125) * $B$37</f>
        <v>10.075249999999999</v>
      </c>
      <c r="P61" s="6">
        <f>0.875 * $B$38 + (1 - 0.875) * $B$37</f>
        <v>9.7195</v>
      </c>
      <c r="Q61" s="6">
        <f>0.9375 * $B$38 + (1 - 0.9375) * $B$37</f>
        <v>9.3637499999999978</v>
      </c>
      <c r="R61" s="7">
        <f>1 * $B$38 + (1 - 1) * $B$37</f>
        <v>9.0079999999999991</v>
      </c>
    </row>
    <row r="62" spans="1:18" x14ac:dyDescent="0.25">
      <c r="A62" s="8" t="s">
        <v>26</v>
      </c>
      <c r="B62" s="9">
        <f>(0 * $B$38 + (1 - 0) * $B$37) * $B$36 / 100</f>
        <v>14.7</v>
      </c>
      <c r="C62" s="9">
        <f>(0.0625 * $B$38 + (1 - 0.0625) * $B$37) * $B$36 / 100</f>
        <v>14.344249999999999</v>
      </c>
      <c r="D62" s="9">
        <f>(0.125 * $B$38 + (1 - 0.125) * $B$37) * $B$36 / 100</f>
        <v>13.988499999999998</v>
      </c>
      <c r="E62" s="9">
        <f>(0.1875 * $B$38 + (1 - 0.1875) * $B$37) * $B$36 / 100</f>
        <v>13.632749999999998</v>
      </c>
      <c r="F62" s="9">
        <f>(0.25 * $B$38 + (1 - 0.25) * $B$37) * $B$36 / 100</f>
        <v>13.276999999999997</v>
      </c>
      <c r="G62" s="9">
        <f>(0.3125 * $B$38 + (1 - 0.3125) * $B$37) * $B$36 / 100</f>
        <v>12.921249999999997</v>
      </c>
      <c r="H62" s="9">
        <f>(0.375 * $B$38 + (1 - 0.375) * $B$37) * $B$36 / 100</f>
        <v>12.5655</v>
      </c>
      <c r="I62" s="9">
        <f>(0.4375 * $B$38 + (1 - 0.4375) * $B$37) * $B$36 / 100</f>
        <v>12.20975</v>
      </c>
      <c r="J62" s="9">
        <f>(0.5 * $B$38 + (1 - 0.5) * $B$37) * $B$36 / 100</f>
        <v>11.853999999999999</v>
      </c>
      <c r="K62" s="9">
        <f>(0.5625 * $B$38 + (1 - 0.5625) * $B$37) * $B$36 / 100</f>
        <v>11.498249999999999</v>
      </c>
      <c r="L62" s="9">
        <f>(0.625 * $B$38 + (1 - 0.625) * $B$37) * $B$36 / 100</f>
        <v>11.142499999999998</v>
      </c>
      <c r="M62" s="9">
        <f>(0.6875 * $B$38 + (1 - 0.6875) * $B$37) * $B$36 / 100</f>
        <v>10.78675</v>
      </c>
      <c r="N62" s="9">
        <f>(0.75 * $B$38 + (1 - 0.75) * $B$37) * $B$36 / 100</f>
        <v>10.430999999999999</v>
      </c>
      <c r="O62" s="9">
        <f>(0.8125 * $B$38 + (1 - 0.8125) * $B$37) * $B$36 / 100</f>
        <v>10.075249999999999</v>
      </c>
      <c r="P62" s="9">
        <f>(0.875 * $B$38 + (1 - 0.875) * $B$37) * $B$36 / 100</f>
        <v>9.7195</v>
      </c>
      <c r="Q62" s="9">
        <f>(0.9375 * $B$38 + (1 - 0.9375) * $B$37) * $B$36 / 100</f>
        <v>9.3637499999999978</v>
      </c>
      <c r="R62" s="10">
        <f>(1 * $B$38 + (1 - 1) * $B$37) * $B$36 / 100</f>
        <v>9.0079999999999991</v>
      </c>
    </row>
    <row r="64" spans="1:18" ht="28.9" customHeight="1" x14ac:dyDescent="0.5">
      <c r="A64" s="1" t="s">
        <v>27</v>
      </c>
      <c r="B64" s="1"/>
    </row>
    <row r="65" spans="1:34" x14ac:dyDescent="0.25">
      <c r="A65" s="24" t="s">
        <v>28</v>
      </c>
      <c r="B65" s="25" t="s">
        <v>29</v>
      </c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25"/>
      <c r="W65" s="25"/>
      <c r="X65" s="25"/>
      <c r="Y65" s="25"/>
      <c r="Z65" s="25"/>
      <c r="AA65" s="25"/>
      <c r="AB65" s="25"/>
      <c r="AC65" s="25"/>
      <c r="AD65" s="25"/>
      <c r="AE65" s="25"/>
      <c r="AF65" s="25"/>
      <c r="AG65" s="25"/>
      <c r="AH65" s="26"/>
    </row>
    <row r="66" spans="1:34" x14ac:dyDescent="0.25">
      <c r="A66" s="27" t="s">
        <v>18</v>
      </c>
      <c r="B66" s="28">
        <v>4.5</v>
      </c>
      <c r="C66" s="28">
        <v>5</v>
      </c>
      <c r="D66" s="28">
        <v>5.5</v>
      </c>
      <c r="E66" s="28">
        <v>6</v>
      </c>
      <c r="F66" s="28">
        <v>6.5</v>
      </c>
      <c r="G66" s="28">
        <v>7</v>
      </c>
      <c r="H66" s="28">
        <v>7.5</v>
      </c>
      <c r="I66" s="28">
        <v>8</v>
      </c>
      <c r="J66" s="28">
        <v>8.5</v>
      </c>
      <c r="K66" s="28">
        <v>9</v>
      </c>
      <c r="L66" s="28">
        <v>9.5</v>
      </c>
      <c r="M66" s="28">
        <v>10</v>
      </c>
      <c r="N66" s="28">
        <v>10.5</v>
      </c>
      <c r="O66" s="28">
        <v>11</v>
      </c>
      <c r="P66" s="28">
        <v>11.5</v>
      </c>
      <c r="Q66" s="28">
        <v>12</v>
      </c>
      <c r="R66" s="28">
        <v>12.5</v>
      </c>
      <c r="S66" s="28">
        <v>13</v>
      </c>
      <c r="T66" s="28">
        <v>13.5</v>
      </c>
      <c r="U66" s="28">
        <v>14</v>
      </c>
      <c r="V66" s="28">
        <v>14.5</v>
      </c>
      <c r="W66" s="28">
        <v>15</v>
      </c>
      <c r="X66" s="28">
        <v>15.5</v>
      </c>
      <c r="Y66" s="28">
        <v>16</v>
      </c>
      <c r="Z66" s="28">
        <v>16.5</v>
      </c>
      <c r="AA66" s="28">
        <v>17</v>
      </c>
      <c r="AB66" s="28">
        <v>17.5</v>
      </c>
      <c r="AC66" s="28">
        <v>18</v>
      </c>
      <c r="AD66" s="28">
        <v>18.5</v>
      </c>
      <c r="AE66" s="28">
        <v>19</v>
      </c>
      <c r="AF66" s="28">
        <v>19.5</v>
      </c>
      <c r="AG66" s="28">
        <v>20</v>
      </c>
      <c r="AH66" s="29">
        <v>20.5</v>
      </c>
    </row>
    <row r="67" spans="1:34" x14ac:dyDescent="0.25">
      <c r="A67" s="30">
        <v>0</v>
      </c>
      <c r="B67" s="31">
        <v>9.9832281598235042</v>
      </c>
      <c r="C67" s="31">
        <v>8.7700085308992932</v>
      </c>
      <c r="D67" s="31">
        <v>7.6862102442219156</v>
      </c>
      <c r="E67" s="31">
        <v>6.722058179962124</v>
      </c>
      <c r="F67" s="31">
        <v>5.8681619176020199</v>
      </c>
      <c r="G67" s="31">
        <v>5.1155157359350376</v>
      </c>
      <c r="H67" s="31">
        <v>4.4554986130659762</v>
      </c>
      <c r="I67" s="31">
        <v>3.8798742264109531</v>
      </c>
      <c r="J67" s="31">
        <v>3.3807909526974611</v>
      </c>
      <c r="K67" s="31">
        <v>2.9507818679643059</v>
      </c>
      <c r="L67" s="31">
        <v>2.5827647475616651</v>
      </c>
      <c r="M67" s="31">
        <v>2.2700420661510412</v>
      </c>
      <c r="N67" s="31">
        <v>2.006300997705301</v>
      </c>
      <c r="O67" s="31">
        <v>1.785613415508627</v>
      </c>
      <c r="P67" s="31">
        <v>1.602435892156584</v>
      </c>
      <c r="Q67" s="31">
        <v>1.451609699556041</v>
      </c>
      <c r="R67" s="31">
        <v>1.3283608089252521</v>
      </c>
      <c r="S67" s="31">
        <v>1.228299890793789</v>
      </c>
      <c r="T67" s="31">
        <v>1.14742231500258</v>
      </c>
      <c r="U67" s="31">
        <v>1.0821081507038841</v>
      </c>
      <c r="V67" s="31">
        <v>1.0291221663613099</v>
      </c>
      <c r="W67" s="31">
        <v>0.98561382974982714</v>
      </c>
      <c r="X67" s="31">
        <v>0.94911730795574534</v>
      </c>
      <c r="Y67" s="31">
        <v>0.91755146737669346</v>
      </c>
      <c r="Z67" s="31">
        <v>0.88921987372169642</v>
      </c>
      <c r="AA67" s="31">
        <v>0.86281079201104649</v>
      </c>
      <c r="AB67" s="31">
        <v>0.83739718657646023</v>
      </c>
      <c r="AC67" s="31">
        <v>0.81243672106092646</v>
      </c>
      <c r="AD67" s="31">
        <v>0.7877717584188596</v>
      </c>
      <c r="AE67" s="31">
        <v>0.76362936091596412</v>
      </c>
      <c r="AF67" s="31">
        <v>0.74062129012929068</v>
      </c>
      <c r="AG67" s="31">
        <v>0.71974400694723806</v>
      </c>
      <c r="AH67" s="32">
        <v>0.70237867156959055</v>
      </c>
    </row>
    <row r="68" spans="1:34" x14ac:dyDescent="0.25">
      <c r="A68" s="30">
        <v>5</v>
      </c>
      <c r="B68" s="31">
        <v>10.059354043819219</v>
      </c>
      <c r="C68" s="31">
        <v>8.8379119652431193</v>
      </c>
      <c r="D68" s="31">
        <v>7.7465181755517154</v>
      </c>
      <c r="E68" s="31">
        <v>6.775373442133855</v>
      </c>
      <c r="F68" s="31">
        <v>5.9150632316896967</v>
      </c>
      <c r="G68" s="31">
        <v>5.1565577102307731</v>
      </c>
      <c r="H68" s="31">
        <v>4.4912117430799494</v>
      </c>
      <c r="I68" s="31">
        <v>3.910764894871428</v>
      </c>
      <c r="J68" s="31">
        <v>3.4073414295507711</v>
      </c>
      <c r="K68" s="31">
        <v>2.9734503103748771</v>
      </c>
      <c r="L68" s="31">
        <v>2.601985199911991</v>
      </c>
      <c r="M68" s="31">
        <v>2.286224460041693</v>
      </c>
      <c r="N68" s="31">
        <v>2.0198311519549321</v>
      </c>
      <c r="O68" s="31">
        <v>1.796853036153975</v>
      </c>
      <c r="P68" s="31">
        <v>1.6117225724524511</v>
      </c>
      <c r="Q68" s="31">
        <v>1.4592569199753229</v>
      </c>
      <c r="R68" s="31">
        <v>1.3346579371589069</v>
      </c>
      <c r="S68" s="31">
        <v>1.2335121817508741</v>
      </c>
      <c r="T68" s="31">
        <v>1.151790910810208</v>
      </c>
      <c r="U68" s="31">
        <v>1.0858500807072591</v>
      </c>
      <c r="V68" s="31">
        <v>1.0324303471237219</v>
      </c>
      <c r="W68" s="31">
        <v>0.98865706505263895</v>
      </c>
      <c r="X68" s="31">
        <v>0.9520402887983811</v>
      </c>
      <c r="Y68" s="31">
        <v>0.92047477197668226</v>
      </c>
      <c r="Z68" s="31">
        <v>0.89223996751461954</v>
      </c>
      <c r="AA68" s="31">
        <v>0.86600002765058204</v>
      </c>
      <c r="AB68" s="31">
        <v>0.84080380393435661</v>
      </c>
      <c r="AC68" s="31">
        <v>0.81608484722701735</v>
      </c>
      <c r="AD68" s="31">
        <v>0.7916614077010492</v>
      </c>
      <c r="AE68" s="31">
        <v>0.76773643484027376</v>
      </c>
      <c r="AF68" s="31">
        <v>0.74489757743975127</v>
      </c>
      <c r="AG68" s="31">
        <v>0.72411718360600486</v>
      </c>
      <c r="AH68" s="32">
        <v>0.70675230075689666</v>
      </c>
    </row>
    <row r="69" spans="1:34" x14ac:dyDescent="0.25">
      <c r="A69" s="30">
        <v>10</v>
      </c>
      <c r="B69" s="31">
        <v>10.1359525180064</v>
      </c>
      <c r="C69" s="31">
        <v>8.9062528460490213</v>
      </c>
      <c r="D69" s="31">
        <v>7.8072297670753006</v>
      </c>
      <c r="E69" s="31">
        <v>6.8290599356921469</v>
      </c>
      <c r="F69" s="31">
        <v>5.9623047058178242</v>
      </c>
      <c r="G69" s="31">
        <v>5.1979101306819242</v>
      </c>
      <c r="H69" s="31">
        <v>4.527206962825395</v>
      </c>
      <c r="I69" s="31">
        <v>3.9419106541005249</v>
      </c>
      <c r="J69" s="31">
        <v>3.434121355670948</v>
      </c>
      <c r="K69" s="31">
        <v>2.9963239180116381</v>
      </c>
      <c r="L69" s="31">
        <v>2.6213878909089239</v>
      </c>
      <c r="M69" s="31">
        <v>2.3025675234604628</v>
      </c>
      <c r="N69" s="31">
        <v>2.0335017640752868</v>
      </c>
      <c r="O69" s="31">
        <v>1.808214260473729</v>
      </c>
      <c r="P69" s="31">
        <v>1.6211133596875149</v>
      </c>
      <c r="Q69" s="31">
        <v>1.4669921080596651</v>
      </c>
      <c r="R69" s="31">
        <v>1.341028251244605</v>
      </c>
      <c r="S69" s="31">
        <v>1.2387842342080351</v>
      </c>
      <c r="T69" s="31">
        <v>1.156207201227069</v>
      </c>
      <c r="U69" s="31">
        <v>1.089628995890102</v>
      </c>
      <c r="V69" s="31">
        <v>1.0357661610969231</v>
      </c>
      <c r="W69" s="31">
        <v>0.99171993905863709</v>
      </c>
      <c r="X69" s="31">
        <v>0.95497627129770979</v>
      </c>
      <c r="Y69" s="31">
        <v>0.92340579864796457</v>
      </c>
      <c r="Z69" s="31">
        <v>0.89526386125450963</v>
      </c>
      <c r="AA69" s="31">
        <v>0.86919049857388941</v>
      </c>
      <c r="AB69" s="31">
        <v>0.84421044937386125</v>
      </c>
      <c r="AC69" s="31">
        <v>0.81973315173370753</v>
      </c>
      <c r="AD69" s="31">
        <v>0.79555274304388834</v>
      </c>
      <c r="AE69" s="31">
        <v>0.77184806000631312</v>
      </c>
      <c r="AF69" s="31">
        <v>0.74918263863416734</v>
      </c>
      <c r="AG69" s="31">
        <v>0.72850471425203989</v>
      </c>
      <c r="AH69" s="32">
        <v>0.71114722149585685</v>
      </c>
    </row>
    <row r="70" spans="1:34" x14ac:dyDescent="0.25">
      <c r="A70" s="30">
        <v>15</v>
      </c>
      <c r="B70" s="31">
        <v>10.21302408388105</v>
      </c>
      <c r="C70" s="31">
        <v>8.9750316557427414</v>
      </c>
      <c r="D70" s="31">
        <v>7.8683454821481416</v>
      </c>
      <c r="E70" s="31">
        <v>6.8831181049222456</v>
      </c>
      <c r="F70" s="31">
        <v>6.0098867652013803</v>
      </c>
      <c r="G70" s="31">
        <v>5.2395734034332238</v>
      </c>
      <c r="H70" s="31">
        <v>4.5634846593767984</v>
      </c>
      <c r="I70" s="31">
        <v>3.9733118721024772</v>
      </c>
      <c r="J70" s="31">
        <v>3.4611310799919681</v>
      </c>
      <c r="K70" s="31">
        <v>3.0194030207383231</v>
      </c>
      <c r="L70" s="31">
        <v>2.6409731313459499</v>
      </c>
      <c r="M70" s="31">
        <v>2.3190715481305899</v>
      </c>
      <c r="N70" s="31">
        <v>2.04731310671934</v>
      </c>
      <c r="O70" s="31">
        <v>1.8196973420506359</v>
      </c>
      <c r="P70" s="31">
        <v>1.6306084883742511</v>
      </c>
      <c r="Q70" s="31">
        <v>1.474815479251306</v>
      </c>
      <c r="R70" s="31">
        <v>1.3474719475542849</v>
      </c>
      <c r="S70" s="31">
        <v>1.244116225467008</v>
      </c>
      <c r="T70" s="31">
        <v>1.1606713444846091</v>
      </c>
      <c r="U70" s="31">
        <v>1.093445035413614</v>
      </c>
      <c r="V70" s="31">
        <v>1.0391297283718599</v>
      </c>
      <c r="W70" s="31">
        <v>0.99480255278854013</v>
      </c>
      <c r="X70" s="31">
        <v>0.95792533740420538</v>
      </c>
      <c r="Y70" s="31">
        <v>0.92634461027073212</v>
      </c>
      <c r="Z70" s="31">
        <v>0.89829159875135633</v>
      </c>
      <c r="AA70" s="31">
        <v>0.87238222952062816</v>
      </c>
      <c r="AB70" s="31">
        <v>0.84761712856445126</v>
      </c>
      <c r="AC70" s="31">
        <v>0.82338162118014679</v>
      </c>
      <c r="AD70" s="31">
        <v>0.79944573197625945</v>
      </c>
      <c r="AE70" s="31">
        <v>0.7759641848728337</v>
      </c>
      <c r="AF70" s="31">
        <v>0.75347640310103969</v>
      </c>
      <c r="AG70" s="31">
        <v>0.73290650920357348</v>
      </c>
      <c r="AH70" s="32">
        <v>0.71556332503445219</v>
      </c>
    </row>
    <row r="71" spans="1:34" x14ac:dyDescent="0.25">
      <c r="A71" s="30">
        <v>20</v>
      </c>
      <c r="B71" s="31">
        <v>10.29056924346057</v>
      </c>
      <c r="C71" s="31">
        <v>9.0442488772714533</v>
      </c>
      <c r="D71" s="31">
        <v>7.9298657846471707</v>
      </c>
      <c r="E71" s="31">
        <v>6.937548394630813</v>
      </c>
      <c r="F71" s="31">
        <v>6.0578098355767827</v>
      </c>
      <c r="G71" s="31">
        <v>5.2815479351508374</v>
      </c>
      <c r="H71" s="31">
        <v>4.6000452203300792</v>
      </c>
      <c r="I71" s="31">
        <v>4.0049689174029526</v>
      </c>
      <c r="J71" s="31">
        <v>3.488370951969249</v>
      </c>
      <c r="K71" s="31">
        <v>3.042687948940094</v>
      </c>
      <c r="L71" s="31">
        <v>2.6607412325379811</v>
      </c>
      <c r="M71" s="31">
        <v>2.3357368262967322</v>
      </c>
      <c r="N71" s="31">
        <v>2.061265453061512</v>
      </c>
      <c r="O71" s="31">
        <v>1.8313025349888421</v>
      </c>
      <c r="P71" s="31">
        <v>1.640208193546572</v>
      </c>
      <c r="Q71" s="31">
        <v>1.482727249513909</v>
      </c>
      <c r="R71" s="31">
        <v>1.3539892229813979</v>
      </c>
      <c r="S71" s="31">
        <v>1.249508333350938</v>
      </c>
      <c r="T71" s="31">
        <v>1.1651834993357759</v>
      </c>
      <c r="U71" s="31">
        <v>1.097298338960478</v>
      </c>
      <c r="V71" s="31">
        <v>1.0425211695609651</v>
      </c>
      <c r="W71" s="31">
        <v>0.99790500778452806</v>
      </c>
      <c r="X71" s="31">
        <v>0.96088756958976351</v>
      </c>
      <c r="Y71" s="31">
        <v>0.92929127024667058</v>
      </c>
      <c r="Z71" s="31">
        <v>0.90132322433652956</v>
      </c>
      <c r="AA71" s="31">
        <v>0.87557524575197476</v>
      </c>
      <c r="AB71" s="31">
        <v>0.85102384769701456</v>
      </c>
      <c r="AC71" s="31">
        <v>0.82703024268699432</v>
      </c>
      <c r="AD71" s="31">
        <v>0.80334034254860154</v>
      </c>
      <c r="AE71" s="31">
        <v>0.78008475841988234</v>
      </c>
      <c r="AF71" s="31">
        <v>0.75777880075019521</v>
      </c>
      <c r="AG71" s="31">
        <v>0.73732247930023209</v>
      </c>
      <c r="AH71" s="32">
        <v>0.72000050314210284</v>
      </c>
    </row>
    <row r="72" spans="1:34" x14ac:dyDescent="0.25">
      <c r="A72" s="30">
        <v>25</v>
      </c>
      <c r="B72" s="31">
        <v>10.36858849928382</v>
      </c>
      <c r="C72" s="31">
        <v>9.113904994103736</v>
      </c>
      <c r="D72" s="31">
        <v>7.9917911389707337</v>
      </c>
      <c r="E72" s="31">
        <v>6.9923512501459486</v>
      </c>
      <c r="F72" s="31">
        <v>6.1060743432018834</v>
      </c>
      <c r="G72" s="31">
        <v>5.3238341330223653</v>
      </c>
      <c r="H72" s="31">
        <v>4.6368890338025803</v>
      </c>
      <c r="I72" s="31">
        <v>4.0368821590490489</v>
      </c>
      <c r="J72" s="31">
        <v>3.515841321579638</v>
      </c>
      <c r="K72" s="31">
        <v>3.0661790335235528</v>
      </c>
      <c r="L72" s="31">
        <v>2.6806925063213729</v>
      </c>
      <c r="M72" s="31">
        <v>2.3525636507249841</v>
      </c>
      <c r="N72" s="31">
        <v>2.075359076797656</v>
      </c>
      <c r="O72" s="31">
        <v>1.843030093913949</v>
      </c>
      <c r="P72" s="31">
        <v>1.6499127107598279</v>
      </c>
      <c r="Q72" s="31">
        <v>1.490727635332548</v>
      </c>
      <c r="R72" s="31">
        <v>1.3605802749407681</v>
      </c>
      <c r="S72" s="31">
        <v>1.2549607362044399</v>
      </c>
      <c r="T72" s="31">
        <v>1.169743825054876</v>
      </c>
      <c r="U72" s="31">
        <v>1.101189046734754</v>
      </c>
      <c r="V72" s="31">
        <v>1.0459406057980569</v>
      </c>
      <c r="W72" s="31">
        <v>1.0010274061101641</v>
      </c>
      <c r="X72" s="31">
        <v>0.96386305084775048</v>
      </c>
      <c r="Y72" s="31">
        <v>0.93224584249885623</v>
      </c>
      <c r="Z72" s="31">
        <v>0.90435878286288907</v>
      </c>
      <c r="AA72" s="31">
        <v>0.87876957305053327</v>
      </c>
      <c r="AB72" s="31">
        <v>0.8544306134838775</v>
      </c>
      <c r="AC72" s="31">
        <v>0.83067900389639227</v>
      </c>
      <c r="AD72" s="31">
        <v>0.80723654333277717</v>
      </c>
      <c r="AE72" s="31">
        <v>0.78420973014919304</v>
      </c>
      <c r="AF72" s="31">
        <v>0.76208976201302636</v>
      </c>
      <c r="AG72" s="31">
        <v>0.74175253590313139</v>
      </c>
      <c r="AH72" s="32">
        <v>0.72445864810966032</v>
      </c>
    </row>
    <row r="73" spans="1:34" x14ac:dyDescent="0.25">
      <c r="A73" s="30">
        <v>30</v>
      </c>
      <c r="B73" s="31">
        <v>10.4470823544111</v>
      </c>
      <c r="C73" s="31">
        <v>9.1840004902296553</v>
      </c>
      <c r="D73" s="31">
        <v>8.0541220100386113</v>
      </c>
      <c r="E73" s="31">
        <v>7.0475271173171938</v>
      </c>
      <c r="F73" s="31">
        <v>6.154680714855969</v>
      </c>
      <c r="G73" s="31">
        <v>5.3664324047568446</v>
      </c>
      <c r="H73" s="31">
        <v>4.674016488433085</v>
      </c>
      <c r="I73" s="31">
        <v>4.0690519666092939</v>
      </c>
      <c r="J73" s="31">
        <v>3.5435425393214128</v>
      </c>
      <c r="K73" s="31">
        <v>3.08987660591673</v>
      </c>
      <c r="L73" s="31">
        <v>2.7008272650539009</v>
      </c>
      <c r="M73" s="31">
        <v>2.369552314702883</v>
      </c>
      <c r="N73" s="31">
        <v>2.0895942521450301</v>
      </c>
      <c r="O73" s="31">
        <v>1.8548802739729811</v>
      </c>
      <c r="P73" s="31">
        <v>1.6597222760907859</v>
      </c>
      <c r="Q73" s="31">
        <v>1.4988168537137641</v>
      </c>
      <c r="R73" s="31">
        <v>1.367245301368661</v>
      </c>
      <c r="S73" s="31">
        <v>1.260473612893513</v>
      </c>
      <c r="T73" s="31">
        <v>1.174352481437716</v>
      </c>
      <c r="U73" s="31">
        <v>1.105117299461984</v>
      </c>
      <c r="V73" s="31">
        <v>1.0493881587384311</v>
      </c>
      <c r="W73" s="31">
        <v>1.004169850350479</v>
      </c>
      <c r="X73" s="31">
        <v>0.9668518646929094</v>
      </c>
      <c r="Y73" s="31">
        <v>0.93520839147183032</v>
      </c>
      <c r="Z73" s="31">
        <v>0.90739831970468998</v>
      </c>
      <c r="AA73" s="31">
        <v>0.88196523772033331</v>
      </c>
      <c r="AB73" s="31">
        <v>0.85783743315887073</v>
      </c>
      <c r="AC73" s="31">
        <v>0.83432789297181753</v>
      </c>
      <c r="AD73" s="31">
        <v>0.81113430342202264</v>
      </c>
      <c r="AE73" s="31">
        <v>0.7883390500837143</v>
      </c>
      <c r="AF73" s="31">
        <v>0.76640921784232341</v>
      </c>
      <c r="AG73" s="31">
        <v>0.74619659089479051</v>
      </c>
      <c r="AH73" s="32">
        <v>0.72893765274933042</v>
      </c>
    </row>
    <row r="74" spans="1:34" x14ac:dyDescent="0.25">
      <c r="A74" s="30">
        <v>35</v>
      </c>
      <c r="B74" s="31">
        <v>10.5260513124241</v>
      </c>
      <c r="C74" s="31">
        <v>9.2545358501606643</v>
      </c>
      <c r="D74" s="31">
        <v>8.1168588632920304</v>
      </c>
      <c r="E74" s="31">
        <v>7.1030764425155084</v>
      </c>
      <c r="F74" s="31">
        <v>6.203629377839742</v>
      </c>
      <c r="G74" s="31">
        <v>5.4093431585847336</v>
      </c>
      <c r="H74" s="31">
        <v>4.7114279733818094</v>
      </c>
      <c r="I74" s="31">
        <v>4.1014787101736543</v>
      </c>
      <c r="J74" s="31">
        <v>3.571474956214292</v>
      </c>
      <c r="K74" s="31">
        <v>3.113780998069088</v>
      </c>
      <c r="L74" s="31">
        <v>2.7211458216147681</v>
      </c>
      <c r="M74" s="31">
        <v>2.3867031120393829</v>
      </c>
      <c r="N74" s="31">
        <v>2.1039712538423552</v>
      </c>
      <c r="O74" s="31">
        <v>1.866853330834412</v>
      </c>
      <c r="P74" s="31">
        <v>1.6696371261376519</v>
      </c>
      <c r="Q74" s="31">
        <v>1.5069951221855249</v>
      </c>
      <c r="R74" s="31">
        <v>1.373984500722814</v>
      </c>
      <c r="S74" s="31">
        <v>1.2660471428056299</v>
      </c>
      <c r="T74" s="31">
        <v>1.179009628801472</v>
      </c>
      <c r="U74" s="31">
        <v>1.1090832383891449</v>
      </c>
      <c r="V74" s="31">
        <v>1.052863950558784</v>
      </c>
      <c r="W74" s="31">
        <v>1.007332443611954</v>
      </c>
      <c r="X74" s="31">
        <v>0.96985409516146071</v>
      </c>
      <c r="Y74" s="31">
        <v>0.9381789821315234</v>
      </c>
      <c r="Z74" s="31">
        <v>0.91044188075767329</v>
      </c>
      <c r="AA74" s="31">
        <v>0.88516226658680686</v>
      </c>
      <c r="AB74" s="31">
        <v>0.8612443144771047</v>
      </c>
      <c r="AC74" s="31">
        <v>0.83797689859822788</v>
      </c>
      <c r="AD74" s="31">
        <v>0.81503359243105644</v>
      </c>
      <c r="AE74" s="31">
        <v>0.79247266876786437</v>
      </c>
      <c r="AF74" s="31">
        <v>0.77073709971223536</v>
      </c>
      <c r="AG74" s="31">
        <v>0.75065455667911607</v>
      </c>
      <c r="AH74" s="32">
        <v>0.73343741039486332</v>
      </c>
    </row>
    <row r="75" spans="1:34" x14ac:dyDescent="0.25">
      <c r="A75" s="30">
        <v>40</v>
      </c>
      <c r="B75" s="31">
        <v>10.605495877425991</v>
      </c>
      <c r="C75" s="31">
        <v>9.3255115589296551</v>
      </c>
      <c r="D75" s="31">
        <v>8.1800021646936205</v>
      </c>
      <c r="E75" s="31">
        <v>7.158999672633283</v>
      </c>
      <c r="F75" s="31">
        <v>6.2529207599753613</v>
      </c>
      <c r="G75" s="31">
        <v>5.4525668032579224</v>
      </c>
      <c r="H75" s="31">
        <v>4.7491238783303897</v>
      </c>
      <c r="I75" s="31">
        <v>4.134162760353516</v>
      </c>
      <c r="J75" s="31">
        <v>3.599638923799406</v>
      </c>
      <c r="K75" s="31">
        <v>3.1378925424515121</v>
      </c>
      <c r="L75" s="31">
        <v>2.741648489404628</v>
      </c>
      <c r="M75" s="31">
        <v>2.4040163370648808</v>
      </c>
      <c r="N75" s="31">
        <v>2.118490357149764</v>
      </c>
      <c r="O75" s="31">
        <v>1.8789495206881</v>
      </c>
      <c r="P75" s="31">
        <v>1.67965749802008</v>
      </c>
      <c r="Q75" s="31">
        <v>1.515262658797192</v>
      </c>
      <c r="R75" s="31">
        <v>1.380798071982323</v>
      </c>
      <c r="S75" s="31">
        <v>1.27168150584967</v>
      </c>
      <c r="T75" s="31">
        <v>1.1837154279847899</v>
      </c>
      <c r="U75" s="31">
        <v>1.1130870052845609</v>
      </c>
      <c r="V75" s="31">
        <v>1.0563681039572439</v>
      </c>
      <c r="W75" s="31">
        <v>1.0105152895224201</v>
      </c>
      <c r="X75" s="31">
        <v>0.97286982681101908</v>
      </c>
      <c r="Y75" s="31">
        <v>0.94115767996530786</v>
      </c>
      <c r="Z75" s="31">
        <v>0.91348951243893617</v>
      </c>
      <c r="AA75" s="31">
        <v>0.88836068699682602</v>
      </c>
      <c r="AB75" s="31">
        <v>0.86465126571530981</v>
      </c>
      <c r="AC75" s="31">
        <v>0.84162600998202941</v>
      </c>
      <c r="AD75" s="31">
        <v>0.81893438049599265</v>
      </c>
      <c r="AE75" s="31">
        <v>0.79661053726758302</v>
      </c>
      <c r="AF75" s="31">
        <v>0.77507333961840885</v>
      </c>
      <c r="AG75" s="31">
        <v>0.75512634618155527</v>
      </c>
      <c r="AH75" s="32">
        <v>0.73795781490138534</v>
      </c>
    </row>
    <row r="76" spans="1:34" x14ac:dyDescent="0.25">
      <c r="A76" s="30">
        <v>45</v>
      </c>
      <c r="B76" s="31">
        <v>10.68541655404135</v>
      </c>
      <c r="C76" s="31">
        <v>9.3969281020909712</v>
      </c>
      <c r="D76" s="31">
        <v>8.2435523807274969</v>
      </c>
      <c r="E76" s="31">
        <v>7.2152972550843657</v>
      </c>
      <c r="F76" s="31">
        <v>6.3025552896064134</v>
      </c>
      <c r="G76" s="31">
        <v>5.4961037480497659</v>
      </c>
      <c r="H76" s="31">
        <v>4.7871045934819296</v>
      </c>
      <c r="I76" s="31">
        <v>4.1671044882817361</v>
      </c>
      <c r="J76" s="31">
        <v>3.6280347941393649</v>
      </c>
      <c r="K76" s="31">
        <v>3.162211572056342</v>
      </c>
      <c r="L76" s="31">
        <v>2.762335582345556</v>
      </c>
      <c r="M76" s="31">
        <v>2.4214922846312068</v>
      </c>
      <c r="N76" s="31">
        <v>2.1331518378488581</v>
      </c>
      <c r="O76" s="31">
        <v>1.891169100245423</v>
      </c>
      <c r="P76" s="31">
        <v>1.6897836293791539</v>
      </c>
      <c r="Q76" s="31">
        <v>1.5236196821196351</v>
      </c>
      <c r="R76" s="31">
        <v>1.3876862146478171</v>
      </c>
      <c r="S76" s="31">
        <v>1.2773768824559839</v>
      </c>
      <c r="T76" s="31">
        <v>1.1884700403477699</v>
      </c>
      <c r="U76" s="31">
        <v>1.117128742438144</v>
      </c>
      <c r="V76" s="31">
        <v>1.059900742153411</v>
      </c>
      <c r="W76" s="31">
        <v>1.013718492231261</v>
      </c>
      <c r="X76" s="31">
        <v>0.97589914472069095</v>
      </c>
      <c r="Y76" s="31">
        <v>0.94414455098206473</v>
      </c>
      <c r="Z76" s="31">
        <v>0.9165412616870654</v>
      </c>
      <c r="AA76" s="31">
        <v>0.8915605268187502</v>
      </c>
      <c r="AB76" s="31">
        <v>0.86805829567147064</v>
      </c>
      <c r="AC76" s="31">
        <v>0.84527521685101115</v>
      </c>
      <c r="AD76" s="31">
        <v>0.82283663827443132</v>
      </c>
      <c r="AE76" s="31">
        <v>0.80075260717016106</v>
      </c>
      <c r="AF76" s="31">
        <v>0.77941787007792851</v>
      </c>
      <c r="AG76" s="31">
        <v>0.759611872848865</v>
      </c>
      <c r="AH76" s="32">
        <v>0.74249876064545373</v>
      </c>
    </row>
    <row r="77" spans="1:34" x14ac:dyDescent="0.25">
      <c r="A77" s="30">
        <v>50</v>
      </c>
      <c r="B77" s="31">
        <v>10.76581384741619</v>
      </c>
      <c r="C77" s="31">
        <v>9.4687859657203735</v>
      </c>
      <c r="D77" s="31">
        <v>8.3075099783991408</v>
      </c>
      <c r="E77" s="31">
        <v>7.2719696378040197</v>
      </c>
      <c r="F77" s="31">
        <v>6.3525333955979004</v>
      </c>
      <c r="G77" s="31">
        <v>5.5399544027550096</v>
      </c>
      <c r="H77" s="31">
        <v>4.8253705095609227</v>
      </c>
      <c r="I77" s="31">
        <v>4.2003042656125489</v>
      </c>
      <c r="J77" s="31">
        <v>3.6566629198181531</v>
      </c>
      <c r="K77" s="31">
        <v>3.186738420397337</v>
      </c>
      <c r="L77" s="31">
        <v>2.7832074148810668</v>
      </c>
      <c r="M77" s="31">
        <v>2.4391312501116111</v>
      </c>
      <c r="N77" s="31">
        <v>2.147955972242634</v>
      </c>
      <c r="O77" s="31">
        <v>1.9035123267391041</v>
      </c>
      <c r="P77" s="31">
        <v>1.700015758377375</v>
      </c>
      <c r="Q77" s="31">
        <v>1.5320664112450819</v>
      </c>
      <c r="R77" s="31">
        <v>1.394649128741263</v>
      </c>
      <c r="S77" s="31">
        <v>1.283133453576303</v>
      </c>
      <c r="T77" s="31">
        <v>1.193273627771898</v>
      </c>
      <c r="U77" s="31">
        <v>1.1212085926610891</v>
      </c>
      <c r="V77" s="31">
        <v>1.0634619888882659</v>
      </c>
      <c r="W77" s="31">
        <v>1.016942156409204</v>
      </c>
      <c r="X77" s="31">
        <v>0.97894213449096423</v>
      </c>
      <c r="Y77" s="31">
        <v>0.94713966171199371</v>
      </c>
      <c r="Z77" s="31">
        <v>0.91959717596206403</v>
      </c>
      <c r="AA77" s="31">
        <v>0.89476181444232228</v>
      </c>
      <c r="AB77" s="31">
        <v>0.87146541366515584</v>
      </c>
      <c r="AC77" s="31">
        <v>0.84892450945445563</v>
      </c>
      <c r="AD77" s="31">
        <v>0.82674033694532045</v>
      </c>
      <c r="AE77" s="31">
        <v>0.80489883058434253</v>
      </c>
      <c r="AF77" s="31">
        <v>0.78377062412926812</v>
      </c>
      <c r="AG77" s="31">
        <v>0.76411105064931917</v>
      </c>
      <c r="AH77" s="32">
        <v>0.74706014252506492</v>
      </c>
    </row>
    <row r="78" spans="1:34" x14ac:dyDescent="0.25">
      <c r="A78" s="30">
        <v>55</v>
      </c>
      <c r="B78" s="31">
        <v>10.846688263217979</v>
      </c>
      <c r="C78" s="31">
        <v>9.5410856364150778</v>
      </c>
      <c r="D78" s="31">
        <v>8.3718754252355243</v>
      </c>
      <c r="E78" s="31">
        <v>7.3290172692489381</v>
      </c>
      <c r="F78" s="31">
        <v>6.4028555073362856</v>
      </c>
      <c r="G78" s="31">
        <v>5.5841191776898613</v>
      </c>
      <c r="H78" s="31">
        <v>4.86392201781333</v>
      </c>
      <c r="I78" s="31">
        <v>4.2337624645216696</v>
      </c>
      <c r="J78" s="31">
        <v>3.685523653941237</v>
      </c>
      <c r="K78" s="31">
        <v>3.2114734215096998</v>
      </c>
      <c r="L78" s="31">
        <v>2.8042643019760982</v>
      </c>
      <c r="M78" s="31">
        <v>2.4569335294008039</v>
      </c>
      <c r="N78" s="31">
        <v>2.162903037155536</v>
      </c>
      <c r="O78" s="31">
        <v>1.915979457923346</v>
      </c>
      <c r="P78" s="31">
        <v>1.710354123698663</v>
      </c>
      <c r="Q78" s="31">
        <v>1.5406030657872281</v>
      </c>
      <c r="R78" s="31">
        <v>1.4016870148061391</v>
      </c>
      <c r="S78" s="31">
        <v>1.2889514006838401</v>
      </c>
      <c r="T78" s="31">
        <v>1.19812635266011</v>
      </c>
      <c r="U78" s="31">
        <v>1.1253266992860991</v>
      </c>
      <c r="V78" s="31">
        <v>1.0670519684242601</v>
      </c>
      <c r="W78" s="31">
        <v>1.0201863872484329</v>
      </c>
      <c r="X78" s="31">
        <v>0.98199888224377063</v>
      </c>
      <c r="Y78" s="31">
        <v>0.95014307920681085</v>
      </c>
      <c r="Z78" s="31">
        <v>0.92265730324537298</v>
      </c>
      <c r="AA78" s="31">
        <v>0.89796457877869817</v>
      </c>
      <c r="AB78" s="31">
        <v>0.87487262953725786</v>
      </c>
      <c r="AC78" s="31">
        <v>0.85257387856301059</v>
      </c>
      <c r="AD78" s="31">
        <v>0.83064544820916442</v>
      </c>
      <c r="AE78" s="31">
        <v>0.80904916014032613</v>
      </c>
      <c r="AF78" s="31">
        <v>0.78813153533237612</v>
      </c>
      <c r="AG78" s="31">
        <v>0.7686237940726105</v>
      </c>
      <c r="AH78" s="32">
        <v>0.7516418559596546</v>
      </c>
    </row>
    <row r="79" spans="1:34" x14ac:dyDescent="0.25">
      <c r="A79" s="30">
        <v>60</v>
      </c>
      <c r="B79" s="31">
        <v>10.92804030763557</v>
      </c>
      <c r="C79" s="31">
        <v>9.6138276012936892</v>
      </c>
      <c r="D79" s="31">
        <v>8.4366491892850188</v>
      </c>
      <c r="E79" s="31">
        <v>7.386440598397245</v>
      </c>
      <c r="F79" s="31">
        <v>6.4535220547294259</v>
      </c>
      <c r="G79" s="31">
        <v>5.6285984836919392</v>
      </c>
      <c r="H79" s="31">
        <v>4.9027595100065087</v>
      </c>
      <c r="I79" s="31">
        <v>4.267479457706215</v>
      </c>
      <c r="J79" s="31">
        <v>3.7146173501354709</v>
      </c>
      <c r="K79" s="31">
        <v>3.2364169099500382</v>
      </c>
      <c r="L79" s="31">
        <v>2.825506559117029</v>
      </c>
      <c r="M79" s="31">
        <v>2.4748994189148878</v>
      </c>
      <c r="N79" s="31">
        <v>2.177993309933429</v>
      </c>
      <c r="O79" s="31">
        <v>1.928570752073768</v>
      </c>
      <c r="P79" s="31">
        <v>1.7207989645484201</v>
      </c>
      <c r="Q79" s="31">
        <v>1.5492298658811869</v>
      </c>
      <c r="R79" s="31">
        <v>1.4088000739072719</v>
      </c>
      <c r="S79" s="31">
        <v>1.294830905773189</v>
      </c>
      <c r="T79" s="31">
        <v>1.203028377936789</v>
      </c>
      <c r="U79" s="31">
        <v>1.1294832061672919</v>
      </c>
      <c r="V79" s="31">
        <v>1.0706708055452501</v>
      </c>
      <c r="W79" s="31">
        <v>1.0234512904625801</v>
      </c>
      <c r="X79" s="31">
        <v>0.98506947462248995</v>
      </c>
      <c r="Y79" s="31">
        <v>0.9531548710396045</v>
      </c>
      <c r="Z79" s="31">
        <v>0.92572169203983656</v>
      </c>
      <c r="AA79" s="31">
        <v>0.9011688492604969</v>
      </c>
      <c r="AB79" s="31">
        <v>0.8782799536501501</v>
      </c>
      <c r="AC79" s="31">
        <v>0.8562233154688208</v>
      </c>
      <c r="AD79" s="31">
        <v>0.83455194428779211</v>
      </c>
      <c r="AE79" s="31">
        <v>0.81320354898974057</v>
      </c>
      <c r="AF79" s="31">
        <v>0.79250053776863916</v>
      </c>
      <c r="AG79" s="31">
        <v>0.77315001812982598</v>
      </c>
      <c r="AH79" s="32">
        <v>0.75624379689006815</v>
      </c>
    </row>
    <row r="80" spans="1:34" x14ac:dyDescent="0.25">
      <c r="A80" s="30">
        <v>65</v>
      </c>
      <c r="B80" s="31">
        <v>11.00987048737931</v>
      </c>
      <c r="C80" s="31">
        <v>9.6870123479962889</v>
      </c>
      <c r="D80" s="31">
        <v>8.5018317391174403</v>
      </c>
      <c r="E80" s="31">
        <v>7.4442400747485191</v>
      </c>
      <c r="F80" s="31">
        <v>6.5045334682066516</v>
      </c>
      <c r="G80" s="31">
        <v>5.6733927321203126</v>
      </c>
      <c r="H80" s="31">
        <v>4.9418833784292948</v>
      </c>
      <c r="I80" s="31">
        <v>4.3014556183847494</v>
      </c>
      <c r="J80" s="31">
        <v>3.7439443625491808</v>
      </c>
      <c r="K80" s="31">
        <v>3.26156922079642</v>
      </c>
      <c r="L80" s="31">
        <v>2.8469345023116759</v>
      </c>
      <c r="M80" s="31">
        <v>2.493029215591446</v>
      </c>
      <c r="N80" s="31">
        <v>2.1932270684436319</v>
      </c>
      <c r="O80" s="31">
        <v>1.9412864679874411</v>
      </c>
      <c r="P80" s="31">
        <v>1.731350520653443</v>
      </c>
      <c r="Q80" s="31">
        <v>1.557947032183536</v>
      </c>
      <c r="R80" s="31">
        <v>1.4159885076309979</v>
      </c>
      <c r="S80" s="31">
        <v>1.300772151360414</v>
      </c>
      <c r="T80" s="31">
        <v>1.207979867047738</v>
      </c>
      <c r="U80" s="31">
        <v>1.133678257680232</v>
      </c>
      <c r="V80" s="31">
        <v>1.0743186255565571</v>
      </c>
      <c r="W80" s="31">
        <v>1.026736972286681</v>
      </c>
      <c r="X80" s="31">
        <v>0.98815399879192412</v>
      </c>
      <c r="Y80" s="31">
        <v>0.95617510530495786</v>
      </c>
      <c r="Z80" s="31">
        <v>0.92879039136980568</v>
      </c>
      <c r="AA80" s="31">
        <v>0.90437465584180288</v>
      </c>
      <c r="AB80" s="31">
        <v>0.8816873968876564</v>
      </c>
      <c r="AC80" s="31">
        <v>0.85987281198540455</v>
      </c>
      <c r="AD80" s="31">
        <v>0.83845979792446823</v>
      </c>
      <c r="AE80" s="31">
        <v>0.81736195080559804</v>
      </c>
      <c r="AF80" s="31">
        <v>0.79687756604079873</v>
      </c>
      <c r="AG80" s="31">
        <v>0.77768963835353622</v>
      </c>
      <c r="AH80" s="32">
        <v>0.76086586177860505</v>
      </c>
    </row>
    <row r="81" spans="1:34" x14ac:dyDescent="0.25">
      <c r="A81" s="30">
        <v>70</v>
      </c>
      <c r="B81" s="31">
        <v>11.09217930968093</v>
      </c>
      <c r="C81" s="31">
        <v>9.7606403646843756</v>
      </c>
      <c r="D81" s="31">
        <v>8.5674235438240345</v>
      </c>
      <c r="E81" s="31">
        <v>7.5024161483237508</v>
      </c>
      <c r="F81" s="31">
        <v>6.5558901787187169</v>
      </c>
      <c r="G81" s="31">
        <v>5.7185023348554784</v>
      </c>
      <c r="H81" s="31">
        <v>4.981294015891919</v>
      </c>
      <c r="I81" s="31">
        <v>4.3356913202972773</v>
      </c>
      <c r="J81" s="31">
        <v>3.7735050458521191</v>
      </c>
      <c r="K81" s="31">
        <v>3.2869306896483579</v>
      </c>
      <c r="L81" s="31">
        <v>2.868548448089276</v>
      </c>
      <c r="M81" s="31">
        <v>2.511323216889461</v>
      </c>
      <c r="N81" s="31">
        <v>2.2086045910748879</v>
      </c>
      <c r="O81" s="31">
        <v>1.9541268649828449</v>
      </c>
      <c r="P81" s="31">
        <v>1.7420090322619819</v>
      </c>
      <c r="Q81" s="31">
        <v>1.5667547858722699</v>
      </c>
      <c r="R81" s="31">
        <v>1.4232525180850579</v>
      </c>
      <c r="S81" s="31">
        <v>1.3067753204830279</v>
      </c>
      <c r="T81" s="31">
        <v>1.212980983960195</v>
      </c>
      <c r="U81" s="31">
        <v>1.1379119987219239</v>
      </c>
      <c r="V81" s="31">
        <v>1.077995554284918</v>
      </c>
      <c r="W81" s="31">
        <v>1.030043539477244</v>
      </c>
      <c r="X81" s="31">
        <v>0.99125254243831207</v>
      </c>
      <c r="Y81" s="31">
        <v>0.95920385061886293</v>
      </c>
      <c r="Z81" s="31">
        <v>0.93186345078098054</v>
      </c>
      <c r="AA81" s="31">
        <v>0.9075820289980957</v>
      </c>
      <c r="AB81" s="31">
        <v>0.88509497065498266</v>
      </c>
      <c r="AC81" s="31">
        <v>0.86352236044780262</v>
      </c>
      <c r="AD81" s="31">
        <v>0.84236898238399138</v>
      </c>
      <c r="AE81" s="31">
        <v>0.82152431978240525</v>
      </c>
      <c r="AF81" s="31">
        <v>0.80126255527312673</v>
      </c>
      <c r="AG81" s="31">
        <v>0.78224257079773452</v>
      </c>
      <c r="AH81" s="32">
        <v>0.76550794760905927</v>
      </c>
    </row>
    <row r="82" spans="1:34" x14ac:dyDescent="0.25">
      <c r="A82" s="30">
        <v>75</v>
      </c>
      <c r="B82" s="31">
        <v>11.174967282293601</v>
      </c>
      <c r="C82" s="31">
        <v>9.8347121400408746</v>
      </c>
      <c r="D82" s="31">
        <v>8.6334250730174897</v>
      </c>
      <c r="E82" s="31">
        <v>7.5609692696653621</v>
      </c>
      <c r="F82" s="31">
        <v>6.6075926177377804</v>
      </c>
      <c r="G82" s="31">
        <v>5.7639277042993609</v>
      </c>
      <c r="H82" s="31">
        <v>5.0209918157260658</v>
      </c>
      <c r="I82" s="31">
        <v>4.3701869377052063</v>
      </c>
      <c r="J82" s="31">
        <v>3.8032997552354368</v>
      </c>
      <c r="K82" s="31">
        <v>3.3125016526267501</v>
      </c>
      <c r="L82" s="31">
        <v>2.890348713500495</v>
      </c>
      <c r="M82" s="31">
        <v>2.5297817207893498</v>
      </c>
      <c r="N82" s="31">
        <v>2.224126156737364</v>
      </c>
      <c r="O82" s="31">
        <v>1.9670922028999001</v>
      </c>
      <c r="P82" s="31">
        <v>1.7527747401436971</v>
      </c>
      <c r="Q82" s="31">
        <v>1.5756533486467841</v>
      </c>
      <c r="R82" s="31">
        <v>1.4305923078986089</v>
      </c>
      <c r="S82" s="31">
        <v>1.312840596699923</v>
      </c>
      <c r="T82" s="31">
        <v>1.218031893162816</v>
      </c>
      <c r="U82" s="31">
        <v>1.1421845747107311</v>
      </c>
      <c r="V82" s="31">
        <v>1.08170171807847</v>
      </c>
      <c r="W82" s="31">
        <v>1.033371099312163</v>
      </c>
      <c r="X82" s="31">
        <v>0.99436519376929566</v>
      </c>
      <c r="Y82" s="31">
        <v>0.96224117611868454</v>
      </c>
      <c r="Z82" s="31">
        <v>0.9349409203405088</v>
      </c>
      <c r="AA82" s="31">
        <v>0.91079099972626287</v>
      </c>
      <c r="AB82" s="31">
        <v>0.88850268687880518</v>
      </c>
      <c r="AC82" s="31">
        <v>0.86717195371236877</v>
      </c>
      <c r="AD82" s="31">
        <v>0.84627947145246185</v>
      </c>
      <c r="AE82" s="31">
        <v>0.82569061063605165</v>
      </c>
      <c r="AF82" s="31">
        <v>0.80565544111129128</v>
      </c>
      <c r="AG82" s="31">
        <v>0.786808732037791</v>
      </c>
      <c r="AH82" s="32">
        <v>0.77016995188651538</v>
      </c>
    </row>
    <row r="83" spans="1:34" x14ac:dyDescent="0.25">
      <c r="A83" s="33">
        <v>80</v>
      </c>
      <c r="B83" s="34">
        <v>11.25823491349197</v>
      </c>
      <c r="C83" s="34">
        <v>9.9092281632701606</v>
      </c>
      <c r="D83" s="34">
        <v>8.699836796831919</v>
      </c>
      <c r="E83" s="34">
        <v>7.6198998898372334</v>
      </c>
      <c r="F83" s="34">
        <v>6.6596412172574713</v>
      </c>
      <c r="G83" s="34">
        <v>5.8096692533753318</v>
      </c>
      <c r="H83" s="34">
        <v>5.0609771717848542</v>
      </c>
      <c r="I83" s="34">
        <v>4.404942845391421</v>
      </c>
      <c r="J83" s="34">
        <v>3.8333288464117721</v>
      </c>
      <c r="K83" s="34">
        <v>3.3382824463739782</v>
      </c>
      <c r="L83" s="34">
        <v>2.91233561611747</v>
      </c>
      <c r="M83" s="34">
        <v>2.5484050257929991</v>
      </c>
      <c r="N83" s="34">
        <v>2.2397920448626869</v>
      </c>
      <c r="O83" s="34">
        <v>1.980182742099982</v>
      </c>
      <c r="P83" s="34">
        <v>1.7636478855896991</v>
      </c>
      <c r="Q83" s="34">
        <v>1.5846429427279589</v>
      </c>
      <c r="R83" s="34">
        <v>1.4380080802222741</v>
      </c>
      <c r="S83" s="34">
        <v>1.318968164091475</v>
      </c>
      <c r="T83" s="34">
        <v>1.22313275966573</v>
      </c>
      <c r="U83" s="34">
        <v>1.146496131586568</v>
      </c>
      <c r="V83" s="34">
        <v>1.0854372438068649</v>
      </c>
      <c r="W83" s="34">
        <v>1.0367197595908271</v>
      </c>
      <c r="X83" s="34">
        <v>0.99749204151400594</v>
      </c>
      <c r="Y83" s="34">
        <v>0.96528715146333255</v>
      </c>
      <c r="Z83" s="34">
        <v>0.93802285063704705</v>
      </c>
      <c r="AA83" s="34">
        <v>0.91400159954471161</v>
      </c>
      <c r="AB83" s="34">
        <v>0.89191055800725039</v>
      </c>
      <c r="AC83" s="34">
        <v>0.87082158515701025</v>
      </c>
      <c r="AD83" s="34">
        <v>0.85019123943756392</v>
      </c>
      <c r="AE83" s="34">
        <v>0.82986077860395124</v>
      </c>
      <c r="AF83" s="34">
        <v>0.81005615972238587</v>
      </c>
      <c r="AG83" s="34">
        <v>0.79138803917059874</v>
      </c>
      <c r="AH83" s="35">
        <v>0.77485177263759653</v>
      </c>
    </row>
    <row r="86" spans="1:34" ht="28.9" customHeight="1" x14ac:dyDescent="0.5">
      <c r="A86" s="1" t="s">
        <v>30</v>
      </c>
    </row>
    <row r="87" spans="1:34" ht="32.1" customHeight="1" x14ac:dyDescent="0.25"/>
    <row r="88" spans="1:34" x14ac:dyDescent="0.25">
      <c r="A88" s="2"/>
      <c r="B88" s="3"/>
      <c r="C88" s="3"/>
      <c r="D88" s="4"/>
    </row>
    <row r="89" spans="1:34" x14ac:dyDescent="0.25">
      <c r="A89" s="5" t="s">
        <v>31</v>
      </c>
      <c r="B89" s="6">
        <v>3.5</v>
      </c>
      <c r="C89" s="6" t="s">
        <v>11</v>
      </c>
      <c r="D89" s="7"/>
    </row>
    <row r="90" spans="1:34" x14ac:dyDescent="0.25">
      <c r="A90" s="8"/>
      <c r="B90" s="9"/>
      <c r="C90" s="9"/>
      <c r="D90" s="10"/>
    </row>
    <row r="93" spans="1:34" ht="48" customHeight="1" x14ac:dyDescent="0.25">
      <c r="A93" s="21" t="s">
        <v>32</v>
      </c>
      <c r="B93" s="23" t="s">
        <v>33</v>
      </c>
    </row>
    <row r="94" spans="1:34" x14ac:dyDescent="0.25">
      <c r="A94" s="5">
        <v>0</v>
      </c>
      <c r="B94" s="32">
        <v>0.22</v>
      </c>
    </row>
    <row r="95" spans="1:34" x14ac:dyDescent="0.25">
      <c r="A95" s="5">
        <v>0.125</v>
      </c>
      <c r="B95" s="32">
        <v>0.23302500000000001</v>
      </c>
    </row>
    <row r="96" spans="1:34" x14ac:dyDescent="0.25">
      <c r="A96" s="5">
        <v>0.25</v>
      </c>
      <c r="B96" s="32">
        <v>0.16002777777777791</v>
      </c>
    </row>
    <row r="97" spans="1:2" x14ac:dyDescent="0.25">
      <c r="A97" s="5">
        <v>0.375</v>
      </c>
      <c r="B97" s="32">
        <v>6.0026785714285547E-2</v>
      </c>
    </row>
    <row r="98" spans="1:2" x14ac:dyDescent="0.25">
      <c r="A98" s="5">
        <v>0.5</v>
      </c>
      <c r="B98" s="32">
        <v>5.0100000000000033E-2</v>
      </c>
    </row>
    <row r="99" spans="1:2" x14ac:dyDescent="0.25">
      <c r="A99" s="5">
        <v>0.625</v>
      </c>
      <c r="B99" s="32">
        <v>2.4293333333333281E-2</v>
      </c>
    </row>
    <row r="100" spans="1:2" x14ac:dyDescent="0.25">
      <c r="A100" s="5">
        <v>0.75</v>
      </c>
      <c r="B100" s="32">
        <v>-1.154166666666656E-2</v>
      </c>
    </row>
    <row r="101" spans="1:2" x14ac:dyDescent="0.25">
      <c r="A101" s="5">
        <v>0.875</v>
      </c>
      <c r="B101" s="32">
        <v>-2.7189393939393899E-2</v>
      </c>
    </row>
    <row r="102" spans="1:2" x14ac:dyDescent="0.25">
      <c r="A102" s="5">
        <v>1</v>
      </c>
      <c r="B102" s="32">
        <v>-3.7659574468084989E-2</v>
      </c>
    </row>
    <row r="103" spans="1:2" x14ac:dyDescent="0.25">
      <c r="A103" s="5">
        <v>1.125</v>
      </c>
      <c r="B103" s="32">
        <v>-3.9202127659574537E-2</v>
      </c>
    </row>
    <row r="104" spans="1:2" x14ac:dyDescent="0.25">
      <c r="A104" s="5">
        <v>1.25</v>
      </c>
      <c r="B104" s="32">
        <v>-3.9021739130434829E-2</v>
      </c>
    </row>
    <row r="105" spans="1:2" x14ac:dyDescent="0.25">
      <c r="A105" s="5">
        <v>1.375</v>
      </c>
      <c r="B105" s="32">
        <v>-3.7880434782608829E-2</v>
      </c>
    </row>
    <row r="106" spans="1:2" x14ac:dyDescent="0.25">
      <c r="A106" s="5">
        <v>1.5</v>
      </c>
      <c r="B106" s="32">
        <v>-3.5227272727272878E-2</v>
      </c>
    </row>
    <row r="107" spans="1:2" x14ac:dyDescent="0.25">
      <c r="A107" s="5">
        <v>1.625</v>
      </c>
      <c r="B107" s="32">
        <v>-2.835227272727282E-2</v>
      </c>
    </row>
    <row r="108" spans="1:2" x14ac:dyDescent="0.25">
      <c r="A108" s="5">
        <v>1.75</v>
      </c>
      <c r="B108" s="32">
        <v>-2.1477272727272959E-2</v>
      </c>
    </row>
    <row r="109" spans="1:2" x14ac:dyDescent="0.25">
      <c r="A109" s="5">
        <v>1.875</v>
      </c>
      <c r="B109" s="32">
        <v>-1.4602272727272891E-2</v>
      </c>
    </row>
    <row r="110" spans="1:2" x14ac:dyDescent="0.25">
      <c r="A110" s="5">
        <v>2</v>
      </c>
      <c r="B110" s="32">
        <v>-9.5143487858722064E-3</v>
      </c>
    </row>
    <row r="111" spans="1:2" x14ac:dyDescent="0.25">
      <c r="A111" s="5">
        <v>2.125</v>
      </c>
      <c r="B111" s="32">
        <v>-6.4238410596029194E-3</v>
      </c>
    </row>
    <row r="112" spans="1:2" x14ac:dyDescent="0.25">
      <c r="A112" s="5">
        <v>2.25</v>
      </c>
      <c r="B112" s="32">
        <v>-3.3333333333336319E-3</v>
      </c>
    </row>
    <row r="113" spans="1:2" x14ac:dyDescent="0.25">
      <c r="A113" s="5">
        <v>2.375</v>
      </c>
      <c r="B113" s="32">
        <v>-2.4282560706434531E-4</v>
      </c>
    </row>
    <row r="114" spans="1:2" x14ac:dyDescent="0.25">
      <c r="A114" s="5">
        <v>2.5</v>
      </c>
      <c r="B114" s="32">
        <v>2.8476821192049422E-3</v>
      </c>
    </row>
    <row r="115" spans="1:2" x14ac:dyDescent="0.25">
      <c r="A115" s="5">
        <v>2.625</v>
      </c>
      <c r="B115" s="32">
        <v>5.9381898454742288E-3</v>
      </c>
    </row>
    <row r="116" spans="1:2" x14ac:dyDescent="0.25">
      <c r="A116" s="5">
        <v>2.75</v>
      </c>
      <c r="B116" s="32">
        <v>9.0286975717435158E-3</v>
      </c>
    </row>
    <row r="117" spans="1:2" x14ac:dyDescent="0.25">
      <c r="A117" s="5">
        <v>2.875</v>
      </c>
      <c r="B117" s="32">
        <v>1.211920529801302E-2</v>
      </c>
    </row>
    <row r="118" spans="1:2" x14ac:dyDescent="0.25">
      <c r="A118" s="5">
        <v>3</v>
      </c>
      <c r="B118" s="32">
        <v>1.195329087048802E-2</v>
      </c>
    </row>
    <row r="119" spans="1:2" x14ac:dyDescent="0.25">
      <c r="A119" s="5">
        <v>3.125</v>
      </c>
      <c r="B119" s="32">
        <v>1.0148619957537131E-2</v>
      </c>
    </row>
    <row r="120" spans="1:2" x14ac:dyDescent="0.25">
      <c r="A120" s="5">
        <v>3.25</v>
      </c>
      <c r="B120" s="32">
        <v>8.3439490445853526E-3</v>
      </c>
    </row>
    <row r="121" spans="1:2" x14ac:dyDescent="0.25">
      <c r="A121" s="5">
        <v>3.375</v>
      </c>
      <c r="B121" s="32">
        <v>6.5392781316344628E-3</v>
      </c>
    </row>
    <row r="122" spans="1:2" x14ac:dyDescent="0.25">
      <c r="A122" s="5">
        <v>3.5</v>
      </c>
      <c r="B122" s="32">
        <v>0</v>
      </c>
    </row>
    <row r="123" spans="1:2" x14ac:dyDescent="0.25">
      <c r="A123" s="5">
        <v>3.625</v>
      </c>
      <c r="B123" s="32">
        <v>0</v>
      </c>
    </row>
    <row r="124" spans="1:2" x14ac:dyDescent="0.25">
      <c r="A124" s="5">
        <v>3.75</v>
      </c>
      <c r="B124" s="32">
        <v>0</v>
      </c>
    </row>
    <row r="125" spans="1:2" x14ac:dyDescent="0.25">
      <c r="A125" s="5">
        <v>3.875</v>
      </c>
      <c r="B125" s="32">
        <v>0</v>
      </c>
    </row>
    <row r="126" spans="1:2" x14ac:dyDescent="0.25">
      <c r="A126" s="8">
        <v>4</v>
      </c>
      <c r="B126" s="35">
        <v>0</v>
      </c>
    </row>
  </sheetData>
  <sheetProtection algorithmName="SHA-512" hashValue="RwG/tRb3/dTrkskdMg3WapYu2g+F1SsEn69JzueggWny99O7ttaJCb4KBTpgH7i2HaOlAbC4dIyUZ66kzBKfPg==" saltValue="ZBhica63cgudJCO4NJOExQ==" spinCount="100000" sheet="1" objects="1" scenarios="1"/>
  <protectedRanges>
    <protectedRange sqref="B36" name="Range1"/>
  </protectedRange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5:R56"/>
  <sheetViews>
    <sheetView workbookViewId="0">
      <selection activeCell="B36" sqref="B36"/>
    </sheetView>
  </sheetViews>
  <sheetFormatPr defaultRowHeight="15" x14ac:dyDescent="0.25"/>
  <cols>
    <col min="1" max="1" width="30.7109375" customWidth="1"/>
  </cols>
  <sheetData>
    <row r="15" spans="1:4" ht="28.9" customHeight="1" x14ac:dyDescent="0.5">
      <c r="A15" s="1" t="s">
        <v>35</v>
      </c>
      <c r="B15" s="1"/>
    </row>
    <row r="16" spans="1:4" x14ac:dyDescent="0.25">
      <c r="A16" s="2"/>
      <c r="B16" s="3"/>
      <c r="C16" s="3"/>
      <c r="D16" s="4"/>
    </row>
    <row r="17" spans="1:4" x14ac:dyDescent="0.25">
      <c r="A17" s="5" t="s">
        <v>1</v>
      </c>
      <c r="B17" s="6" t="s">
        <v>43</v>
      </c>
      <c r="C17" s="6"/>
      <c r="D17" s="7"/>
    </row>
    <row r="18" spans="1:4" x14ac:dyDescent="0.25">
      <c r="A18" s="5" t="s">
        <v>2</v>
      </c>
      <c r="B18" s="6" t="s">
        <v>3</v>
      </c>
      <c r="C18" s="6"/>
      <c r="D18" s="7"/>
    </row>
    <row r="19" spans="1:4" x14ac:dyDescent="0.25">
      <c r="A19" s="5" t="s">
        <v>4</v>
      </c>
      <c r="B19" s="6" t="s">
        <v>5</v>
      </c>
      <c r="C19" s="6"/>
      <c r="D19" s="7"/>
    </row>
    <row r="20" spans="1:4" x14ac:dyDescent="0.25">
      <c r="A20" s="8"/>
      <c r="B20" s="9"/>
      <c r="C20" s="9"/>
      <c r="D20" s="10"/>
    </row>
    <row r="22" spans="1:4" x14ac:dyDescent="0.25">
      <c r="A22" s="2"/>
      <c r="B22" s="11"/>
      <c r="C22" s="11"/>
      <c r="D22" s="12"/>
    </row>
    <row r="23" spans="1:4" x14ac:dyDescent="0.25">
      <c r="A23" s="5" t="s">
        <v>6</v>
      </c>
      <c r="B23" s="13">
        <v>300</v>
      </c>
      <c r="C23" s="13" t="s">
        <v>7</v>
      </c>
      <c r="D23" s="14"/>
    </row>
    <row r="24" spans="1:4" x14ac:dyDescent="0.25">
      <c r="A24" s="5" t="s">
        <v>8</v>
      </c>
      <c r="B24" s="13">
        <v>14</v>
      </c>
      <c r="C24" s="13" t="s">
        <v>9</v>
      </c>
      <c r="D24" s="14"/>
    </row>
    <row r="25" spans="1:4" x14ac:dyDescent="0.25">
      <c r="A25" s="8"/>
      <c r="B25" s="15"/>
      <c r="C25" s="15"/>
      <c r="D25" s="16"/>
    </row>
    <row r="29" spans="1:4" x14ac:dyDescent="0.25">
      <c r="A29" s="2"/>
      <c r="B29" s="3"/>
      <c r="C29" s="3"/>
      <c r="D29" s="4"/>
    </row>
    <row r="30" spans="1:4" x14ac:dyDescent="0.25">
      <c r="A30" s="5" t="s">
        <v>10</v>
      </c>
      <c r="B30" s="6">
        <v>0.31000000000000011</v>
      </c>
      <c r="C30" s="6" t="s">
        <v>11</v>
      </c>
      <c r="D30" s="7"/>
    </row>
    <row r="31" spans="1:4" x14ac:dyDescent="0.25">
      <c r="A31" s="8"/>
      <c r="B31" s="9"/>
      <c r="C31" s="9"/>
      <c r="D31" s="10"/>
    </row>
    <row r="34" spans="1:5" ht="28.9" customHeight="1" x14ac:dyDescent="0.5">
      <c r="A34" s="1" t="s">
        <v>12</v>
      </c>
    </row>
    <row r="36" spans="1:5" x14ac:dyDescent="0.25">
      <c r="A36" s="17" t="s">
        <v>13</v>
      </c>
      <c r="B36" s="17">
        <v>100</v>
      </c>
      <c r="C36" s="17" t="s">
        <v>14</v>
      </c>
      <c r="D36" s="17" t="s">
        <v>15</v>
      </c>
      <c r="E36" s="17"/>
    </row>
    <row r="37" spans="1:5" hidden="1" x14ac:dyDescent="0.25">
      <c r="A37" s="17" t="s">
        <v>16</v>
      </c>
      <c r="B37" s="17">
        <v>14.7</v>
      </c>
      <c r="C37" s="17"/>
      <c r="D37" s="17" t="s">
        <v>15</v>
      </c>
      <c r="E37" s="17"/>
    </row>
    <row r="38" spans="1:5" hidden="1" x14ac:dyDescent="0.25">
      <c r="A38" s="17" t="s">
        <v>17</v>
      </c>
      <c r="B38" s="17">
        <v>9.0079999999999991</v>
      </c>
      <c r="C38" s="17"/>
      <c r="D38" s="17" t="s">
        <v>15</v>
      </c>
      <c r="E38" s="17"/>
    </row>
    <row r="40" spans="1:5" ht="48" customHeight="1" x14ac:dyDescent="0.25">
      <c r="A40" s="18" t="s">
        <v>18</v>
      </c>
      <c r="B40" s="19" t="s">
        <v>19</v>
      </c>
      <c r="C40" s="19" t="s">
        <v>20</v>
      </c>
      <c r="D40" s="19" t="s">
        <v>21</v>
      </c>
      <c r="E40" s="20" t="s">
        <v>22</v>
      </c>
    </row>
    <row r="41" spans="1:5" x14ac:dyDescent="0.25">
      <c r="A41" s="5">
        <v>0</v>
      </c>
      <c r="B41" s="6">
        <v>77.771477451101447</v>
      </c>
      <c r="C41" s="6">
        <f>77.7714774511014 * $B$36 / 100</f>
        <v>77.771477451101404</v>
      </c>
      <c r="D41" s="6">
        <v>9.7990333333333339</v>
      </c>
      <c r="E41" s="7">
        <f>9.79903333333333 * $B$36 / 100</f>
        <v>9.7990333333333304</v>
      </c>
    </row>
    <row r="42" spans="1:5" x14ac:dyDescent="0.25">
      <c r="A42" s="5">
        <v>10</v>
      </c>
      <c r="B42" s="6">
        <v>78.703306054780526</v>
      </c>
      <c r="C42" s="6">
        <f>78.7033060547805 * $B$36 / 100</f>
        <v>78.703306054780498</v>
      </c>
      <c r="D42" s="6">
        <v>9.9164416666666693</v>
      </c>
      <c r="E42" s="7">
        <f>9.91644166666667 * $B$36 / 100</f>
        <v>9.9164416666666693</v>
      </c>
    </row>
    <row r="43" spans="1:5" x14ac:dyDescent="0.25">
      <c r="A43" s="5">
        <v>20</v>
      </c>
      <c r="B43" s="6">
        <v>79.635134658459592</v>
      </c>
      <c r="C43" s="6">
        <f>79.6351346584595 * $B$36 / 100</f>
        <v>79.635134658459506</v>
      </c>
      <c r="D43" s="6">
        <v>10.033849999999999</v>
      </c>
      <c r="E43" s="7">
        <f>10.03385 * $B$36 / 100</f>
        <v>10.033849999999999</v>
      </c>
    </row>
    <row r="44" spans="1:5" x14ac:dyDescent="0.25">
      <c r="A44" s="5">
        <v>30</v>
      </c>
      <c r="B44" s="6">
        <v>80.566963262138671</v>
      </c>
      <c r="C44" s="6">
        <f>80.5669632621386 * $B$36 / 100</f>
        <v>80.5669632621386</v>
      </c>
      <c r="D44" s="6">
        <v>10.151258333333329</v>
      </c>
      <c r="E44" s="7">
        <f>10.1512583333333 * $B$36 / 100</f>
        <v>10.151258333333301</v>
      </c>
    </row>
    <row r="45" spans="1:5" x14ac:dyDescent="0.25">
      <c r="A45" s="5">
        <v>40</v>
      </c>
      <c r="B45" s="6">
        <v>81.498791865817751</v>
      </c>
      <c r="C45" s="6">
        <f>81.4987918658177 * $B$36 / 100</f>
        <v>81.498791865817694</v>
      </c>
      <c r="D45" s="6">
        <v>10.26866666666667</v>
      </c>
      <c r="E45" s="7">
        <f>10.2686666666666 * $B$36 / 100</f>
        <v>10.268666666666599</v>
      </c>
    </row>
    <row r="46" spans="1:5" x14ac:dyDescent="0.25">
      <c r="A46" s="5">
        <v>50</v>
      </c>
      <c r="B46" s="6">
        <v>82.43062046949683</v>
      </c>
      <c r="C46" s="6">
        <f>82.4306204694968 * $B$36 / 100</f>
        <v>82.430620469496802</v>
      </c>
      <c r="D46" s="6">
        <v>10.386075</v>
      </c>
      <c r="E46" s="7">
        <f>10.386075 * $B$36 / 100</f>
        <v>10.386075</v>
      </c>
    </row>
    <row r="47" spans="1:5" x14ac:dyDescent="0.25">
      <c r="A47" s="5">
        <v>60</v>
      </c>
      <c r="B47" s="6">
        <v>83.362449073175895</v>
      </c>
      <c r="C47" s="6">
        <f>83.3624490731759 * $B$36 / 100</f>
        <v>83.36244907317591</v>
      </c>
      <c r="D47" s="6">
        <v>10.50348333333333</v>
      </c>
      <c r="E47" s="7">
        <f>10.5034833333333 * $B$36 / 100</f>
        <v>10.5034833333333</v>
      </c>
    </row>
    <row r="48" spans="1:5" x14ac:dyDescent="0.25">
      <c r="A48" s="5">
        <v>70</v>
      </c>
      <c r="B48" s="6">
        <v>84.294277676854975</v>
      </c>
      <c r="C48" s="6">
        <f>84.2942776768549 * $B$36 / 100</f>
        <v>84.294277676854904</v>
      </c>
      <c r="D48" s="6">
        <v>10.620891666666671</v>
      </c>
      <c r="E48" s="7">
        <f>10.6208916666666 * $B$36 / 100</f>
        <v>10.620891666666601</v>
      </c>
    </row>
    <row r="49" spans="1:18" x14ac:dyDescent="0.25">
      <c r="A49" s="5">
        <v>80</v>
      </c>
      <c r="B49" s="6">
        <v>85.226106280534054</v>
      </c>
      <c r="C49" s="6">
        <f>85.226106280534 * $B$36 / 100</f>
        <v>85.226106280533998</v>
      </c>
      <c r="D49" s="6">
        <v>10.738300000000001</v>
      </c>
      <c r="E49" s="7">
        <f>10.7383 * $B$36 / 100</f>
        <v>10.738300000000002</v>
      </c>
    </row>
    <row r="50" spans="1:18" x14ac:dyDescent="0.25">
      <c r="A50" s="5">
        <v>90</v>
      </c>
      <c r="B50" s="6">
        <v>86.15793488421312</v>
      </c>
      <c r="C50" s="6">
        <f>86.1579348842131 * $B$36 / 100</f>
        <v>86.157934884213105</v>
      </c>
      <c r="D50" s="6">
        <v>10.855708333333331</v>
      </c>
      <c r="E50" s="7">
        <f>10.8557083333333 * $B$36 / 100</f>
        <v>10.8557083333333</v>
      </c>
    </row>
    <row r="51" spans="1:18" x14ac:dyDescent="0.25">
      <c r="A51" s="8">
        <v>100</v>
      </c>
      <c r="B51" s="9">
        <v>87.089763487892199</v>
      </c>
      <c r="C51" s="9">
        <f>87.0897634878922 * $B$36 / 100</f>
        <v>87.089763487892199</v>
      </c>
      <c r="D51" s="9">
        <v>10.973116666666661</v>
      </c>
      <c r="E51" s="10">
        <f>10.9731166666666 * $B$36 / 100</f>
        <v>10.973116666666602</v>
      </c>
    </row>
    <row r="53" spans="1:18" ht="28.9" customHeight="1" x14ac:dyDescent="0.5">
      <c r="A53" s="1" t="s">
        <v>23</v>
      </c>
      <c r="B53" s="1"/>
    </row>
    <row r="54" spans="1:18" x14ac:dyDescent="0.25">
      <c r="A54" s="21" t="s">
        <v>24</v>
      </c>
      <c r="B54" s="22">
        <v>0</v>
      </c>
      <c r="C54" s="22">
        <v>6.25</v>
      </c>
      <c r="D54" s="22">
        <v>12.5</v>
      </c>
      <c r="E54" s="22">
        <v>18.75</v>
      </c>
      <c r="F54" s="22">
        <v>25</v>
      </c>
      <c r="G54" s="22">
        <v>31.25</v>
      </c>
      <c r="H54" s="22">
        <v>37.5</v>
      </c>
      <c r="I54" s="22">
        <v>43.75</v>
      </c>
      <c r="J54" s="22">
        <v>50</v>
      </c>
      <c r="K54" s="22">
        <v>56.25</v>
      </c>
      <c r="L54" s="22">
        <v>62.5</v>
      </c>
      <c r="M54" s="22">
        <v>68.75</v>
      </c>
      <c r="N54" s="22">
        <v>75</v>
      </c>
      <c r="O54" s="22">
        <v>81.25</v>
      </c>
      <c r="P54" s="22">
        <v>87.5</v>
      </c>
      <c r="Q54" s="22">
        <v>93.75</v>
      </c>
      <c r="R54" s="23">
        <v>100</v>
      </c>
    </row>
    <row r="55" spans="1:18" x14ac:dyDescent="0.25">
      <c r="A55" s="5" t="s">
        <v>25</v>
      </c>
      <c r="B55" s="6">
        <f>0 * $B$38 + (1 - 0) * $B$37</f>
        <v>14.7</v>
      </c>
      <c r="C55" s="6">
        <f>0.0625 * $B$38 + (1 - 0.0625) * $B$37</f>
        <v>14.344250000000001</v>
      </c>
      <c r="D55" s="6">
        <f>0.125 * $B$38 + (1 - 0.125) * $B$37</f>
        <v>13.988499999999998</v>
      </c>
      <c r="E55" s="6">
        <f>0.1875 * $B$38 + (1 - 0.1875) * $B$37</f>
        <v>13.63275</v>
      </c>
      <c r="F55" s="6">
        <f>0.25 * $B$38 + (1 - 0.25) * $B$37</f>
        <v>13.276999999999997</v>
      </c>
      <c r="G55" s="6">
        <f>0.3125 * $B$38 + (1 - 0.3125) * $B$37</f>
        <v>12.921249999999999</v>
      </c>
      <c r="H55" s="6">
        <f>0.375 * $B$38 + (1 - 0.375) * $B$37</f>
        <v>12.5655</v>
      </c>
      <c r="I55" s="6">
        <f>0.4375 * $B$38 + (1 - 0.4375) * $B$37</f>
        <v>12.20975</v>
      </c>
      <c r="J55" s="6">
        <f>0.5 * $B$38 + (1 - 0.5) * $B$37</f>
        <v>11.853999999999999</v>
      </c>
      <c r="K55" s="6">
        <f>0.5625 * $B$38 + (1 - 0.5625) * $B$37</f>
        <v>11.498249999999999</v>
      </c>
      <c r="L55" s="6">
        <f>0.625 * $B$38 + (1 - 0.625) * $B$37</f>
        <v>11.142499999999998</v>
      </c>
      <c r="M55" s="6">
        <f>0.6875 * $B$38 + (1 - 0.6875) * $B$37</f>
        <v>10.78675</v>
      </c>
      <c r="N55" s="6">
        <f>0.75 * $B$38 + (1 - 0.75) * $B$37</f>
        <v>10.430999999999999</v>
      </c>
      <c r="O55" s="6">
        <f>0.8125 * $B$38 + (1 - 0.8125) * $B$37</f>
        <v>10.075249999999999</v>
      </c>
      <c r="P55" s="6">
        <f>0.875 * $B$38 + (1 - 0.875) * $B$37</f>
        <v>9.7195</v>
      </c>
      <c r="Q55" s="6">
        <f>0.9375 * $B$38 + (1 - 0.9375) * $B$37</f>
        <v>9.3637499999999978</v>
      </c>
      <c r="R55" s="7">
        <f>1 * $B$38 + (1 - 1) * $B$37</f>
        <v>9.0079999999999991</v>
      </c>
    </row>
    <row r="56" spans="1:18" x14ac:dyDescent="0.25">
      <c r="A56" s="8" t="s">
        <v>26</v>
      </c>
      <c r="B56" s="9">
        <f>(0 * $B$38 + (1 - 0) * $B$37) * $B$36 / 100</f>
        <v>14.7</v>
      </c>
      <c r="C56" s="9">
        <f>(0.0625 * $B$38 + (1 - 0.0625) * $B$37) * $B$36 / 100</f>
        <v>14.344249999999999</v>
      </c>
      <c r="D56" s="9">
        <f>(0.125 * $B$38 + (1 - 0.125) * $B$37) * $B$36 / 100</f>
        <v>13.988499999999998</v>
      </c>
      <c r="E56" s="9">
        <f>(0.1875 * $B$38 + (1 - 0.1875) * $B$37) * $B$36 / 100</f>
        <v>13.632749999999998</v>
      </c>
      <c r="F56" s="9">
        <f>(0.25 * $B$38 + (1 - 0.25) * $B$37) * $B$36 / 100</f>
        <v>13.276999999999997</v>
      </c>
      <c r="G56" s="9">
        <f>(0.3125 * $B$38 + (1 - 0.3125) * $B$37) * $B$36 / 100</f>
        <v>12.921249999999997</v>
      </c>
      <c r="H56" s="9">
        <f>(0.375 * $B$38 + (1 - 0.375) * $B$37) * $B$36 / 100</f>
        <v>12.5655</v>
      </c>
      <c r="I56" s="9">
        <f>(0.4375 * $B$38 + (1 - 0.4375) * $B$37) * $B$36 / 100</f>
        <v>12.20975</v>
      </c>
      <c r="J56" s="9">
        <f>(0.5 * $B$38 + (1 - 0.5) * $B$37) * $B$36 / 100</f>
        <v>11.853999999999999</v>
      </c>
      <c r="K56" s="9">
        <f>(0.5625 * $B$38 + (1 - 0.5625) * $B$37) * $B$36 / 100</f>
        <v>11.498249999999999</v>
      </c>
      <c r="L56" s="9">
        <f>(0.625 * $B$38 + (1 - 0.625) * $B$37) * $B$36 / 100</f>
        <v>11.142499999999998</v>
      </c>
      <c r="M56" s="9">
        <f>(0.6875 * $B$38 + (1 - 0.6875) * $B$37) * $B$36 / 100</f>
        <v>10.78675</v>
      </c>
      <c r="N56" s="9">
        <f>(0.75 * $B$38 + (1 - 0.75) * $B$37) * $B$36 / 100</f>
        <v>10.430999999999999</v>
      </c>
      <c r="O56" s="9">
        <f>(0.8125 * $B$38 + (1 - 0.8125) * $B$37) * $B$36 / 100</f>
        <v>10.075249999999999</v>
      </c>
      <c r="P56" s="9">
        <f>(0.875 * $B$38 + (1 - 0.875) * $B$37) * $B$36 / 100</f>
        <v>9.7195</v>
      </c>
      <c r="Q56" s="9">
        <f>(0.9375 * $B$38 + (1 - 0.9375) * $B$37) * $B$36 / 100</f>
        <v>9.3637499999999978</v>
      </c>
      <c r="R56" s="10">
        <f>(1 * $B$38 + (1 - 1) * $B$37) * $B$36 / 100</f>
        <v>9.0079999999999991</v>
      </c>
    </row>
  </sheetData>
  <sheetProtection algorithmName="SHA-512" hashValue="RocIfD4M/F+pSd0crd/BemhiNLBT2WpP3Xy4lQlY1hf+bMtssRqih9x9JdVb11Qqvvy5DG+kcW9VMeVlFOE0+A==" saltValue="XHdaBR6A8FV0MYlKlrlCpw==" spinCount="100000" sheet="1" objects="1" scenarios="1"/>
  <protectedRanges>
    <protectedRange sqref="B36" name="Range1"/>
  </protectedRange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5:R61"/>
  <sheetViews>
    <sheetView workbookViewId="0">
      <selection activeCell="B36" sqref="B36"/>
    </sheetView>
  </sheetViews>
  <sheetFormatPr defaultRowHeight="15" x14ac:dyDescent="0.25"/>
  <cols>
    <col min="1" max="1" width="30.7109375" customWidth="1"/>
  </cols>
  <sheetData>
    <row r="15" spans="1:4" ht="28.9" customHeight="1" x14ac:dyDescent="0.5">
      <c r="A15" s="1" t="s">
        <v>36</v>
      </c>
      <c r="B15" s="1"/>
    </row>
    <row r="16" spans="1:4" x14ac:dyDescent="0.25">
      <c r="A16" s="2"/>
      <c r="B16" s="3"/>
      <c r="C16" s="3"/>
      <c r="D16" s="4"/>
    </row>
    <row r="17" spans="1:4" x14ac:dyDescent="0.25">
      <c r="A17" s="5" t="s">
        <v>1</v>
      </c>
      <c r="B17" s="6" t="s">
        <v>43</v>
      </c>
      <c r="C17" s="6"/>
      <c r="D17" s="7"/>
    </row>
    <row r="18" spans="1:4" x14ac:dyDescent="0.25">
      <c r="A18" s="5" t="s">
        <v>2</v>
      </c>
      <c r="B18" s="6" t="s">
        <v>3</v>
      </c>
      <c r="C18" s="6"/>
      <c r="D18" s="7"/>
    </row>
    <row r="19" spans="1:4" x14ac:dyDescent="0.25">
      <c r="A19" s="5" t="s">
        <v>4</v>
      </c>
      <c r="B19" s="6" t="s">
        <v>5</v>
      </c>
      <c r="C19" s="6"/>
      <c r="D19" s="7"/>
    </row>
    <row r="20" spans="1:4" x14ac:dyDescent="0.25">
      <c r="A20" s="8"/>
      <c r="B20" s="9"/>
      <c r="C20" s="9"/>
      <c r="D20" s="10"/>
    </row>
    <row r="22" spans="1:4" x14ac:dyDescent="0.25">
      <c r="A22" s="2"/>
      <c r="B22" s="11"/>
      <c r="C22" s="11"/>
      <c r="D22" s="12"/>
    </row>
    <row r="23" spans="1:4" x14ac:dyDescent="0.25">
      <c r="A23" s="5" t="s">
        <v>6</v>
      </c>
      <c r="B23" s="13">
        <v>300</v>
      </c>
      <c r="C23" s="13" t="s">
        <v>7</v>
      </c>
      <c r="D23" s="14"/>
    </row>
    <row r="24" spans="1:4" x14ac:dyDescent="0.25">
      <c r="A24" s="5" t="s">
        <v>8</v>
      </c>
      <c r="B24" s="13">
        <v>14</v>
      </c>
      <c r="C24" s="13" t="s">
        <v>9</v>
      </c>
      <c r="D24" s="14"/>
    </row>
    <row r="25" spans="1:4" x14ac:dyDescent="0.25">
      <c r="A25" s="8"/>
      <c r="B25" s="15"/>
      <c r="C25" s="15"/>
      <c r="D25" s="16"/>
    </row>
    <row r="29" spans="1:4" x14ac:dyDescent="0.25">
      <c r="A29" s="2"/>
      <c r="B29" s="3"/>
      <c r="C29" s="3"/>
      <c r="D29" s="4"/>
    </row>
    <row r="30" spans="1:4" x14ac:dyDescent="0.25">
      <c r="A30" s="5" t="s">
        <v>10</v>
      </c>
      <c r="B30" s="6">
        <v>0.31000000000000011</v>
      </c>
      <c r="C30" s="6" t="s">
        <v>11</v>
      </c>
      <c r="D30" s="7"/>
    </row>
    <row r="31" spans="1:4" x14ac:dyDescent="0.25">
      <c r="A31" s="8"/>
      <c r="B31" s="9"/>
      <c r="C31" s="9"/>
      <c r="D31" s="10"/>
    </row>
    <row r="34" spans="1:5" ht="28.9" customHeight="1" x14ac:dyDescent="0.5">
      <c r="A34" s="1" t="s">
        <v>12</v>
      </c>
    </row>
    <row r="36" spans="1:5" x14ac:dyDescent="0.25">
      <c r="A36" s="17" t="s">
        <v>13</v>
      </c>
      <c r="B36" s="17">
        <v>100</v>
      </c>
      <c r="C36" s="17" t="s">
        <v>14</v>
      </c>
      <c r="D36" s="17" t="s">
        <v>15</v>
      </c>
      <c r="E36" s="17"/>
    </row>
    <row r="37" spans="1:5" hidden="1" x14ac:dyDescent="0.25">
      <c r="A37" s="17" t="s">
        <v>16</v>
      </c>
      <c r="B37" s="17">
        <v>14.7</v>
      </c>
      <c r="C37" s="17"/>
      <c r="D37" s="17" t="s">
        <v>15</v>
      </c>
      <c r="E37" s="17"/>
    </row>
    <row r="38" spans="1:5" hidden="1" x14ac:dyDescent="0.25">
      <c r="A38" s="17" t="s">
        <v>17</v>
      </c>
      <c r="B38" s="17">
        <v>9.0079999999999991</v>
      </c>
      <c r="C38" s="17"/>
      <c r="D38" s="17" t="s">
        <v>15</v>
      </c>
      <c r="E38" s="17"/>
    </row>
    <row r="40" spans="1:5" ht="48" customHeight="1" x14ac:dyDescent="0.25">
      <c r="A40" s="18" t="s">
        <v>18</v>
      </c>
      <c r="B40" s="19" t="s">
        <v>19</v>
      </c>
      <c r="C40" s="19" t="s">
        <v>20</v>
      </c>
      <c r="D40" s="19" t="s">
        <v>21</v>
      </c>
      <c r="E40" s="20" t="s">
        <v>22</v>
      </c>
    </row>
    <row r="41" spans="1:5" x14ac:dyDescent="0.25">
      <c r="A41" s="5">
        <v>-50</v>
      </c>
      <c r="B41" s="6">
        <v>72.50399037020054</v>
      </c>
      <c r="C41" s="6">
        <f>72.5039903702005 * $B$36 / 100</f>
        <v>72.503990370200498</v>
      </c>
      <c r="D41" s="6">
        <v>9.1353416666666671</v>
      </c>
      <c r="E41" s="7">
        <f>9.13534166666666 * $B$36 / 100</f>
        <v>9.13534166666666</v>
      </c>
    </row>
    <row r="42" spans="1:5" x14ac:dyDescent="0.25">
      <c r="A42" s="5">
        <v>-40</v>
      </c>
      <c r="B42" s="6">
        <v>73.557487786380719</v>
      </c>
      <c r="C42" s="6">
        <f>73.5574877863807 * $B$36 / 100</f>
        <v>73.557487786380705</v>
      </c>
      <c r="D42" s="6">
        <v>9.2680800000000012</v>
      </c>
      <c r="E42" s="7">
        <f>9.26808 * $B$36 / 100</f>
        <v>9.2680799999999994</v>
      </c>
    </row>
    <row r="43" spans="1:5" x14ac:dyDescent="0.25">
      <c r="A43" s="5">
        <v>-30</v>
      </c>
      <c r="B43" s="6">
        <v>74.610985202560897</v>
      </c>
      <c r="C43" s="6">
        <f>74.6109852025609 * $B$36 / 100</f>
        <v>74.610985202560897</v>
      </c>
      <c r="D43" s="6">
        <v>9.4008183333333335</v>
      </c>
      <c r="E43" s="7">
        <f>9.40081833333333 * $B$36 / 100</f>
        <v>9.4008183333333299</v>
      </c>
    </row>
    <row r="44" spans="1:5" x14ac:dyDescent="0.25">
      <c r="A44" s="5">
        <v>-20</v>
      </c>
      <c r="B44" s="6">
        <v>75.66448261874109</v>
      </c>
      <c r="C44" s="6">
        <f>75.664482618741 * $B$36 / 100</f>
        <v>75.664482618741005</v>
      </c>
      <c r="D44" s="6">
        <v>9.5335566666666676</v>
      </c>
      <c r="E44" s="7">
        <f>9.53355666666666 * $B$36 / 100</f>
        <v>9.5335566666666605</v>
      </c>
    </row>
    <row r="45" spans="1:5" x14ac:dyDescent="0.25">
      <c r="A45" s="5">
        <v>-10</v>
      </c>
      <c r="B45" s="6">
        <v>76.717980034921268</v>
      </c>
      <c r="C45" s="6">
        <f>76.7179800349212 * $B$36 / 100</f>
        <v>76.717980034921197</v>
      </c>
      <c r="D45" s="6">
        <v>9.6662950000000016</v>
      </c>
      <c r="E45" s="7">
        <f>9.666295 * $B$36 / 100</f>
        <v>9.6662949999999999</v>
      </c>
    </row>
    <row r="46" spans="1:5" x14ac:dyDescent="0.25">
      <c r="A46" s="5">
        <v>0</v>
      </c>
      <c r="B46" s="6">
        <v>77.771477451101447</v>
      </c>
      <c r="C46" s="6">
        <f>77.7714774511014 * $B$36 / 100</f>
        <v>77.771477451101404</v>
      </c>
      <c r="D46" s="6">
        <v>9.7990333333333339</v>
      </c>
      <c r="E46" s="7">
        <f>9.79903333333333 * $B$36 / 100</f>
        <v>9.7990333333333304</v>
      </c>
    </row>
    <row r="47" spans="1:5" x14ac:dyDescent="0.25">
      <c r="A47" s="5">
        <v>10</v>
      </c>
      <c r="B47" s="6">
        <v>78.703306054780526</v>
      </c>
      <c r="C47" s="6">
        <f>78.7033060547805 * $B$36 / 100</f>
        <v>78.703306054780498</v>
      </c>
      <c r="D47" s="6">
        <v>9.9164416666666693</v>
      </c>
      <c r="E47" s="7">
        <f>9.91644166666667 * $B$36 / 100</f>
        <v>9.9164416666666693</v>
      </c>
    </row>
    <row r="48" spans="1:5" x14ac:dyDescent="0.25">
      <c r="A48" s="5">
        <v>20</v>
      </c>
      <c r="B48" s="6">
        <v>79.635134658459592</v>
      </c>
      <c r="C48" s="6">
        <f>79.6351346584595 * $B$36 / 100</f>
        <v>79.635134658459506</v>
      </c>
      <c r="D48" s="6">
        <v>10.033849999999999</v>
      </c>
      <c r="E48" s="7">
        <f>10.03385 * $B$36 / 100</f>
        <v>10.033849999999999</v>
      </c>
    </row>
    <row r="49" spans="1:18" x14ac:dyDescent="0.25">
      <c r="A49" s="5">
        <v>30</v>
      </c>
      <c r="B49" s="6">
        <v>80.566963262138671</v>
      </c>
      <c r="C49" s="6">
        <f>80.5669632621386 * $B$36 / 100</f>
        <v>80.5669632621386</v>
      </c>
      <c r="D49" s="6">
        <v>10.151258333333329</v>
      </c>
      <c r="E49" s="7">
        <f>10.1512583333333 * $B$36 / 100</f>
        <v>10.151258333333301</v>
      </c>
    </row>
    <row r="50" spans="1:18" x14ac:dyDescent="0.25">
      <c r="A50" s="5">
        <v>40</v>
      </c>
      <c r="B50" s="6">
        <v>81.498791865817751</v>
      </c>
      <c r="C50" s="6">
        <f>81.4987918658177 * $B$36 / 100</f>
        <v>81.498791865817694</v>
      </c>
      <c r="D50" s="6">
        <v>10.26866666666667</v>
      </c>
      <c r="E50" s="7">
        <f>10.2686666666666 * $B$36 / 100</f>
        <v>10.268666666666599</v>
      </c>
    </row>
    <row r="51" spans="1:18" x14ac:dyDescent="0.25">
      <c r="A51" s="5">
        <v>50</v>
      </c>
      <c r="B51" s="6">
        <v>82.43062046949683</v>
      </c>
      <c r="C51" s="6">
        <f>82.4306204694968 * $B$36 / 100</f>
        <v>82.430620469496802</v>
      </c>
      <c r="D51" s="6">
        <v>10.386075</v>
      </c>
      <c r="E51" s="7">
        <f>10.386075 * $B$36 / 100</f>
        <v>10.386075</v>
      </c>
    </row>
    <row r="52" spans="1:18" x14ac:dyDescent="0.25">
      <c r="A52" s="5">
        <v>60</v>
      </c>
      <c r="B52" s="6">
        <v>83.362449073175895</v>
      </c>
      <c r="C52" s="6">
        <f>83.3624490731759 * $B$36 / 100</f>
        <v>83.36244907317591</v>
      </c>
      <c r="D52" s="6">
        <v>10.50348333333333</v>
      </c>
      <c r="E52" s="7">
        <f>10.5034833333333 * $B$36 / 100</f>
        <v>10.5034833333333</v>
      </c>
    </row>
    <row r="53" spans="1:18" x14ac:dyDescent="0.25">
      <c r="A53" s="5">
        <v>70</v>
      </c>
      <c r="B53" s="6">
        <v>84.294277676854975</v>
      </c>
      <c r="C53" s="6">
        <f>84.2942776768549 * $B$36 / 100</f>
        <v>84.294277676854904</v>
      </c>
      <c r="D53" s="6">
        <v>10.620891666666671</v>
      </c>
      <c r="E53" s="7">
        <f>10.6208916666666 * $B$36 / 100</f>
        <v>10.620891666666601</v>
      </c>
    </row>
    <row r="54" spans="1:18" x14ac:dyDescent="0.25">
      <c r="A54" s="5">
        <v>80</v>
      </c>
      <c r="B54" s="6">
        <v>85.226106280534054</v>
      </c>
      <c r="C54" s="6">
        <f>85.226106280534 * $B$36 / 100</f>
        <v>85.226106280533998</v>
      </c>
      <c r="D54" s="6">
        <v>10.738300000000001</v>
      </c>
      <c r="E54" s="7">
        <f>10.7383 * $B$36 / 100</f>
        <v>10.738300000000002</v>
      </c>
    </row>
    <row r="55" spans="1:18" x14ac:dyDescent="0.25">
      <c r="A55" s="5">
        <v>90</v>
      </c>
      <c r="B55" s="6">
        <v>86.15793488421312</v>
      </c>
      <c r="C55" s="6">
        <f>86.1579348842131 * $B$36 / 100</f>
        <v>86.157934884213105</v>
      </c>
      <c r="D55" s="6">
        <v>10.855708333333331</v>
      </c>
      <c r="E55" s="7">
        <f>10.8557083333333 * $B$36 / 100</f>
        <v>10.8557083333333</v>
      </c>
    </row>
    <row r="56" spans="1:18" x14ac:dyDescent="0.25">
      <c r="A56" s="8">
        <v>100</v>
      </c>
      <c r="B56" s="9">
        <v>87.089763487892199</v>
      </c>
      <c r="C56" s="9">
        <f>87.0897634878922 * $B$36 / 100</f>
        <v>87.089763487892199</v>
      </c>
      <c r="D56" s="9">
        <v>10.973116666666661</v>
      </c>
      <c r="E56" s="10">
        <f>10.9731166666666 * $B$36 / 100</f>
        <v>10.973116666666602</v>
      </c>
    </row>
    <row r="58" spans="1:18" ht="28.9" customHeight="1" x14ac:dyDescent="0.5">
      <c r="A58" s="1" t="s">
        <v>23</v>
      </c>
      <c r="B58" s="1"/>
    </row>
    <row r="59" spans="1:18" x14ac:dyDescent="0.25">
      <c r="A59" s="21" t="s">
        <v>24</v>
      </c>
      <c r="B59" s="22">
        <v>0</v>
      </c>
      <c r="C59" s="22">
        <v>6.25</v>
      </c>
      <c r="D59" s="22">
        <v>12.5</v>
      </c>
      <c r="E59" s="22">
        <v>18.75</v>
      </c>
      <c r="F59" s="22">
        <v>25</v>
      </c>
      <c r="G59" s="22">
        <v>31.25</v>
      </c>
      <c r="H59" s="22">
        <v>37.5</v>
      </c>
      <c r="I59" s="22">
        <v>43.75</v>
      </c>
      <c r="J59" s="22">
        <v>50</v>
      </c>
      <c r="K59" s="22">
        <v>56.25</v>
      </c>
      <c r="L59" s="22">
        <v>62.5</v>
      </c>
      <c r="M59" s="22">
        <v>68.75</v>
      </c>
      <c r="N59" s="22">
        <v>75</v>
      </c>
      <c r="O59" s="22">
        <v>81.25</v>
      </c>
      <c r="P59" s="22">
        <v>87.5</v>
      </c>
      <c r="Q59" s="22">
        <v>93.75</v>
      </c>
      <c r="R59" s="23">
        <v>100</v>
      </c>
    </row>
    <row r="60" spans="1:18" x14ac:dyDescent="0.25">
      <c r="A60" s="5" t="s">
        <v>25</v>
      </c>
      <c r="B60" s="6">
        <f>0 * $B$38 + (1 - 0) * $B$37</f>
        <v>14.7</v>
      </c>
      <c r="C60" s="6">
        <f>0.0625 * $B$38 + (1 - 0.0625) * $B$37</f>
        <v>14.344250000000001</v>
      </c>
      <c r="D60" s="6">
        <f>0.125 * $B$38 + (1 - 0.125) * $B$37</f>
        <v>13.988499999999998</v>
      </c>
      <c r="E60" s="6">
        <f>0.1875 * $B$38 + (1 - 0.1875) * $B$37</f>
        <v>13.63275</v>
      </c>
      <c r="F60" s="6">
        <f>0.25 * $B$38 + (1 - 0.25) * $B$37</f>
        <v>13.276999999999997</v>
      </c>
      <c r="G60" s="6">
        <f>0.3125 * $B$38 + (1 - 0.3125) * $B$37</f>
        <v>12.921249999999999</v>
      </c>
      <c r="H60" s="6">
        <f>0.375 * $B$38 + (1 - 0.375) * $B$37</f>
        <v>12.5655</v>
      </c>
      <c r="I60" s="6">
        <f>0.4375 * $B$38 + (1 - 0.4375) * $B$37</f>
        <v>12.20975</v>
      </c>
      <c r="J60" s="6">
        <f>0.5 * $B$38 + (1 - 0.5) * $B$37</f>
        <v>11.853999999999999</v>
      </c>
      <c r="K60" s="6">
        <f>0.5625 * $B$38 + (1 - 0.5625) * $B$37</f>
        <v>11.498249999999999</v>
      </c>
      <c r="L60" s="6">
        <f>0.625 * $B$38 + (1 - 0.625) * $B$37</f>
        <v>11.142499999999998</v>
      </c>
      <c r="M60" s="6">
        <f>0.6875 * $B$38 + (1 - 0.6875) * $B$37</f>
        <v>10.78675</v>
      </c>
      <c r="N60" s="6">
        <f>0.75 * $B$38 + (1 - 0.75) * $B$37</f>
        <v>10.430999999999999</v>
      </c>
      <c r="O60" s="6">
        <f>0.8125 * $B$38 + (1 - 0.8125) * $B$37</f>
        <v>10.075249999999999</v>
      </c>
      <c r="P60" s="6">
        <f>0.875 * $B$38 + (1 - 0.875) * $B$37</f>
        <v>9.7195</v>
      </c>
      <c r="Q60" s="6">
        <f>0.9375 * $B$38 + (1 - 0.9375) * $B$37</f>
        <v>9.3637499999999978</v>
      </c>
      <c r="R60" s="7">
        <f>1 * $B$38 + (1 - 1) * $B$37</f>
        <v>9.0079999999999991</v>
      </c>
    </row>
    <row r="61" spans="1:18" x14ac:dyDescent="0.25">
      <c r="A61" s="8" t="s">
        <v>26</v>
      </c>
      <c r="B61" s="9">
        <f>(0 * $B$38 + (1 - 0) * $B$37) * $B$36 / 100</f>
        <v>14.7</v>
      </c>
      <c r="C61" s="9">
        <f>(0.0625 * $B$38 + (1 - 0.0625) * $B$37) * $B$36 / 100</f>
        <v>14.344249999999999</v>
      </c>
      <c r="D61" s="9">
        <f>(0.125 * $B$38 + (1 - 0.125) * $B$37) * $B$36 / 100</f>
        <v>13.988499999999998</v>
      </c>
      <c r="E61" s="9">
        <f>(0.1875 * $B$38 + (1 - 0.1875) * $B$37) * $B$36 / 100</f>
        <v>13.632749999999998</v>
      </c>
      <c r="F61" s="9">
        <f>(0.25 * $B$38 + (1 - 0.25) * $B$37) * $B$36 / 100</f>
        <v>13.276999999999997</v>
      </c>
      <c r="G61" s="9">
        <f>(0.3125 * $B$38 + (1 - 0.3125) * $B$37) * $B$36 / 100</f>
        <v>12.921249999999997</v>
      </c>
      <c r="H61" s="9">
        <f>(0.375 * $B$38 + (1 - 0.375) * $B$37) * $B$36 / 100</f>
        <v>12.5655</v>
      </c>
      <c r="I61" s="9">
        <f>(0.4375 * $B$38 + (1 - 0.4375) * $B$37) * $B$36 / 100</f>
        <v>12.20975</v>
      </c>
      <c r="J61" s="9">
        <f>(0.5 * $B$38 + (1 - 0.5) * $B$37) * $B$36 / 100</f>
        <v>11.853999999999999</v>
      </c>
      <c r="K61" s="9">
        <f>(0.5625 * $B$38 + (1 - 0.5625) * $B$37) * $B$36 / 100</f>
        <v>11.498249999999999</v>
      </c>
      <c r="L61" s="9">
        <f>(0.625 * $B$38 + (1 - 0.625) * $B$37) * $B$36 / 100</f>
        <v>11.142499999999998</v>
      </c>
      <c r="M61" s="9">
        <f>(0.6875 * $B$38 + (1 - 0.6875) * $B$37) * $B$36 / 100</f>
        <v>10.78675</v>
      </c>
      <c r="N61" s="9">
        <f>(0.75 * $B$38 + (1 - 0.75) * $B$37) * $B$36 / 100</f>
        <v>10.430999999999999</v>
      </c>
      <c r="O61" s="9">
        <f>(0.8125 * $B$38 + (1 - 0.8125) * $B$37) * $B$36 / 100</f>
        <v>10.075249999999999</v>
      </c>
      <c r="P61" s="9">
        <f>(0.875 * $B$38 + (1 - 0.875) * $B$37) * $B$36 / 100</f>
        <v>9.7195</v>
      </c>
      <c r="Q61" s="9">
        <f>(0.9375 * $B$38 + (1 - 0.9375) * $B$37) * $B$36 / 100</f>
        <v>9.3637499999999978</v>
      </c>
      <c r="R61" s="10">
        <f>(1 * $B$38 + (1 - 1) * $B$37) * $B$36 / 100</f>
        <v>9.0079999999999991</v>
      </c>
    </row>
  </sheetData>
  <sheetProtection algorithmName="SHA-512" hashValue="y5mLr8QS9ucwj9HRmHxXoHgRLgqSHwxwR0epdDZ8kVUROgG6p5lRazpfmf6pxViy3gh/XiOEXbrW4GZWTNtV/w==" saltValue="QNdXkhpvqezxfjQrTTxMtw==" spinCount="100000" sheet="1" objects="1" scenarios="1"/>
  <protectedRanges>
    <protectedRange sqref="B36" name="Range1"/>
  </protectedRange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5:AH158"/>
  <sheetViews>
    <sheetView workbookViewId="0">
      <selection activeCell="B36" sqref="B36"/>
    </sheetView>
  </sheetViews>
  <sheetFormatPr defaultRowHeight="15" x14ac:dyDescent="0.25"/>
  <cols>
    <col min="1" max="1" width="30.7109375" customWidth="1"/>
  </cols>
  <sheetData>
    <row r="15" spans="1:4" ht="28.9" customHeight="1" x14ac:dyDescent="0.5">
      <c r="A15" s="1" t="s">
        <v>37</v>
      </c>
      <c r="B15" s="1"/>
    </row>
    <row r="16" spans="1:4" x14ac:dyDescent="0.25">
      <c r="A16" s="2"/>
      <c r="B16" s="3"/>
      <c r="C16" s="3"/>
      <c r="D16" s="4"/>
    </row>
    <row r="17" spans="1:4" x14ac:dyDescent="0.25">
      <c r="A17" s="5" t="s">
        <v>1</v>
      </c>
      <c r="B17" s="6" t="s">
        <v>43</v>
      </c>
      <c r="C17" s="6"/>
      <c r="D17" s="7"/>
    </row>
    <row r="18" spans="1:4" x14ac:dyDescent="0.25">
      <c r="A18" s="5" t="s">
        <v>2</v>
      </c>
      <c r="B18" s="6" t="s">
        <v>3</v>
      </c>
      <c r="C18" s="6"/>
      <c r="D18" s="7"/>
    </row>
    <row r="19" spans="1:4" x14ac:dyDescent="0.25">
      <c r="A19" s="5" t="s">
        <v>4</v>
      </c>
      <c r="B19" s="6" t="s">
        <v>5</v>
      </c>
      <c r="C19" s="6"/>
      <c r="D19" s="7"/>
    </row>
    <row r="20" spans="1:4" x14ac:dyDescent="0.25">
      <c r="A20" s="8"/>
      <c r="B20" s="9"/>
      <c r="C20" s="9"/>
      <c r="D20" s="10"/>
    </row>
    <row r="22" spans="1:4" x14ac:dyDescent="0.25">
      <c r="A22" s="2"/>
      <c r="B22" s="11"/>
      <c r="C22" s="11"/>
      <c r="D22" s="12"/>
    </row>
    <row r="23" spans="1:4" x14ac:dyDescent="0.25">
      <c r="A23" s="5" t="s">
        <v>6</v>
      </c>
      <c r="B23" s="13">
        <v>300</v>
      </c>
      <c r="C23" s="13" t="s">
        <v>7</v>
      </c>
      <c r="D23" s="14"/>
    </row>
    <row r="24" spans="1:4" x14ac:dyDescent="0.25">
      <c r="A24" s="5" t="s">
        <v>8</v>
      </c>
      <c r="B24" s="13">
        <v>14</v>
      </c>
      <c r="C24" s="13" t="s">
        <v>9</v>
      </c>
      <c r="D24" s="14"/>
    </row>
    <row r="25" spans="1:4" x14ac:dyDescent="0.25">
      <c r="A25" s="8"/>
      <c r="B25" s="15"/>
      <c r="C25" s="15"/>
      <c r="D25" s="16"/>
    </row>
    <row r="29" spans="1:4" x14ac:dyDescent="0.25">
      <c r="A29" s="2"/>
      <c r="B29" s="3"/>
      <c r="C29" s="3"/>
      <c r="D29" s="4"/>
    </row>
    <row r="30" spans="1:4" x14ac:dyDescent="0.25">
      <c r="A30" s="5" t="s">
        <v>10</v>
      </c>
      <c r="B30" s="6">
        <v>0.31000000000000011</v>
      </c>
      <c r="C30" s="6" t="s">
        <v>11</v>
      </c>
      <c r="D30" s="7"/>
    </row>
    <row r="31" spans="1:4" x14ac:dyDescent="0.25">
      <c r="A31" s="8"/>
      <c r="B31" s="9"/>
      <c r="C31" s="9"/>
      <c r="D31" s="10"/>
    </row>
    <row r="34" spans="1:5" ht="28.9" customHeight="1" x14ac:dyDescent="0.5">
      <c r="A34" s="1" t="s">
        <v>12</v>
      </c>
    </row>
    <row r="36" spans="1:5" x14ac:dyDescent="0.25">
      <c r="A36" s="17" t="s">
        <v>13</v>
      </c>
      <c r="B36" s="17">
        <v>100</v>
      </c>
      <c r="C36" s="17" t="s">
        <v>14</v>
      </c>
      <c r="D36" s="17" t="s">
        <v>15</v>
      </c>
      <c r="E36" s="17"/>
    </row>
    <row r="37" spans="1:5" hidden="1" x14ac:dyDescent="0.25">
      <c r="A37" s="17" t="s">
        <v>16</v>
      </c>
      <c r="B37" s="17">
        <v>14.7</v>
      </c>
      <c r="C37" s="17"/>
      <c r="D37" s="17" t="s">
        <v>15</v>
      </c>
      <c r="E37" s="17"/>
    </row>
    <row r="38" spans="1:5" hidden="1" x14ac:dyDescent="0.25">
      <c r="A38" s="17" t="s">
        <v>17</v>
      </c>
      <c r="B38" s="17">
        <v>9.0079999999999991</v>
      </c>
      <c r="C38" s="17"/>
      <c r="D38" s="17" t="s">
        <v>15</v>
      </c>
      <c r="E38" s="17"/>
    </row>
    <row r="40" spans="1:5" ht="48" customHeight="1" x14ac:dyDescent="0.25">
      <c r="A40" s="18" t="s">
        <v>18</v>
      </c>
      <c r="B40" s="19" t="s">
        <v>19</v>
      </c>
      <c r="C40" s="19" t="s">
        <v>20</v>
      </c>
      <c r="D40" s="19" t="s">
        <v>21</v>
      </c>
      <c r="E40" s="20" t="s">
        <v>22</v>
      </c>
    </row>
    <row r="41" spans="1:5" x14ac:dyDescent="0.25">
      <c r="A41" s="5">
        <v>-120</v>
      </c>
      <c r="B41" s="6">
        <v>64.660214465863589</v>
      </c>
      <c r="C41" s="6">
        <f>64.6602144658635 * $B$36 / 100</f>
        <v>64.660214465863504</v>
      </c>
      <c r="D41" s="6">
        <v>8.1470433333333325</v>
      </c>
      <c r="E41" s="7">
        <f>8.14704333333333 * $B$36 / 100</f>
        <v>8.1470433333333308</v>
      </c>
    </row>
    <row r="42" spans="1:5" x14ac:dyDescent="0.25">
      <c r="A42" s="5">
        <v>-114</v>
      </c>
      <c r="B42" s="6">
        <v>65.433101112894406</v>
      </c>
      <c r="C42" s="6">
        <f>65.4331011128944 * $B$36 / 100</f>
        <v>65.433101112894406</v>
      </c>
      <c r="D42" s="6">
        <v>8.2444253333333339</v>
      </c>
      <c r="E42" s="7">
        <f>8.24442533333333 * $B$36 / 100</f>
        <v>8.2444253333333304</v>
      </c>
    </row>
    <row r="43" spans="1:5" x14ac:dyDescent="0.25">
      <c r="A43" s="5">
        <v>-108</v>
      </c>
      <c r="B43" s="6">
        <v>66.205987759925222</v>
      </c>
      <c r="C43" s="6">
        <f>66.2059877599252 * $B$36 / 100</f>
        <v>66.205987759925193</v>
      </c>
      <c r="D43" s="6">
        <v>8.3418073333333336</v>
      </c>
      <c r="E43" s="7">
        <f>8.34180733333333 * $B$36 / 100</f>
        <v>8.34180733333333</v>
      </c>
    </row>
    <row r="44" spans="1:5" x14ac:dyDescent="0.25">
      <c r="A44" s="5">
        <v>-101</v>
      </c>
      <c r="B44" s="6">
        <v>67.107688848127836</v>
      </c>
      <c r="C44" s="6">
        <f>67.1076888481278 * $B$36 / 100</f>
        <v>67.107688848127793</v>
      </c>
      <c r="D44" s="6">
        <v>8.4554196666666659</v>
      </c>
      <c r="E44" s="7">
        <f>8.45541966666666 * $B$36 / 100</f>
        <v>8.4554196666666606</v>
      </c>
    </row>
    <row r="45" spans="1:5" x14ac:dyDescent="0.25">
      <c r="A45" s="5">
        <v>-95</v>
      </c>
      <c r="B45" s="6">
        <v>67.76325199738973</v>
      </c>
      <c r="C45" s="6">
        <f>67.7632519973897 * $B$36 / 100</f>
        <v>67.763251997389702</v>
      </c>
      <c r="D45" s="6">
        <v>8.5380191666666665</v>
      </c>
      <c r="E45" s="7">
        <f>8.53801916666666 * $B$36 / 100</f>
        <v>8.5380191666666594</v>
      </c>
    </row>
    <row r="46" spans="1:5" x14ac:dyDescent="0.25">
      <c r="A46" s="5">
        <v>-89</v>
      </c>
      <c r="B46" s="6">
        <v>68.39535044709784</v>
      </c>
      <c r="C46" s="6">
        <f>68.3953504470978 * $B$36 / 100</f>
        <v>68.395350447097798</v>
      </c>
      <c r="D46" s="6">
        <v>8.6176621666666673</v>
      </c>
      <c r="E46" s="7">
        <f>8.61766216666666 * $B$36 / 100</f>
        <v>8.6176621666666602</v>
      </c>
    </row>
    <row r="47" spans="1:5" x14ac:dyDescent="0.25">
      <c r="A47" s="5">
        <v>-83</v>
      </c>
      <c r="B47" s="6">
        <v>69.027448896805936</v>
      </c>
      <c r="C47" s="6">
        <f>69.0274488968059 * $B$36 / 100</f>
        <v>69.027448896805893</v>
      </c>
      <c r="D47" s="6">
        <v>8.6973051666666663</v>
      </c>
      <c r="E47" s="7">
        <f>8.69730516666666 * $B$36 / 100</f>
        <v>8.6973051666666592</v>
      </c>
    </row>
    <row r="48" spans="1:5" x14ac:dyDescent="0.25">
      <c r="A48" s="5">
        <v>-76</v>
      </c>
      <c r="B48" s="6">
        <v>69.764897088132074</v>
      </c>
      <c r="C48" s="6">
        <f>69.764897088132 * $B$36 / 100</f>
        <v>69.764897088132003</v>
      </c>
      <c r="D48" s="6">
        <v>8.790222</v>
      </c>
      <c r="E48" s="7">
        <f>8.790222 * $B$36 / 100</f>
        <v>8.790222</v>
      </c>
    </row>
    <row r="49" spans="1:5" x14ac:dyDescent="0.25">
      <c r="A49" s="5">
        <v>-70</v>
      </c>
      <c r="B49" s="6">
        <v>70.396995537840183</v>
      </c>
      <c r="C49" s="6">
        <f>70.3969955378401 * $B$36 / 100</f>
        <v>70.396995537840098</v>
      </c>
      <c r="D49" s="6">
        <v>8.8698650000000008</v>
      </c>
      <c r="E49" s="7">
        <f>8.869865 * $B$36 / 100</f>
        <v>8.8698650000000008</v>
      </c>
    </row>
    <row r="50" spans="1:5" x14ac:dyDescent="0.25">
      <c r="A50" s="5">
        <v>-64</v>
      </c>
      <c r="B50" s="6">
        <v>71.029093987548293</v>
      </c>
      <c r="C50" s="6">
        <f>71.0290939875483 * $B$36 / 100</f>
        <v>71.029093987548293</v>
      </c>
      <c r="D50" s="6">
        <v>8.9495080000000016</v>
      </c>
      <c r="E50" s="7">
        <f>8.949508 * $B$36 / 100</f>
        <v>8.9495079999999998</v>
      </c>
    </row>
    <row r="51" spans="1:5" x14ac:dyDescent="0.25">
      <c r="A51" s="5">
        <v>-58</v>
      </c>
      <c r="B51" s="6">
        <v>71.661192437256389</v>
      </c>
      <c r="C51" s="6">
        <f>71.6611924372563 * $B$36 / 100</f>
        <v>71.661192437256304</v>
      </c>
      <c r="D51" s="6">
        <v>9.0291509999999988</v>
      </c>
      <c r="E51" s="7">
        <f>9.02915099999999 * $B$36 / 100</f>
        <v>9.0291509999999899</v>
      </c>
    </row>
    <row r="52" spans="1:5" x14ac:dyDescent="0.25">
      <c r="A52" s="5">
        <v>-51</v>
      </c>
      <c r="B52" s="6">
        <v>72.398640628582527</v>
      </c>
      <c r="C52" s="6">
        <f>72.3986406285825 * $B$36 / 100</f>
        <v>72.398640628582498</v>
      </c>
      <c r="D52" s="6">
        <v>9.1220678333333343</v>
      </c>
      <c r="E52" s="7">
        <f>9.12206783333333 * $B$36 / 100</f>
        <v>9.1220678333333307</v>
      </c>
    </row>
    <row r="53" spans="1:5" x14ac:dyDescent="0.25">
      <c r="A53" s="5">
        <v>-45</v>
      </c>
      <c r="B53" s="6">
        <v>73.030739078290637</v>
      </c>
      <c r="C53" s="6">
        <f>73.0307390782906 * $B$36 / 100</f>
        <v>73.030739078290594</v>
      </c>
      <c r="D53" s="6">
        <v>9.2017108333333351</v>
      </c>
      <c r="E53" s="7">
        <f>9.20171083333333 * $B$36 / 100</f>
        <v>9.2017108333333297</v>
      </c>
    </row>
    <row r="54" spans="1:5" x14ac:dyDescent="0.25">
      <c r="A54" s="5">
        <v>-39</v>
      </c>
      <c r="B54" s="6">
        <v>73.662837527998747</v>
      </c>
      <c r="C54" s="6">
        <f>73.6628375279987 * $B$36 / 100</f>
        <v>73.662837527998704</v>
      </c>
      <c r="D54" s="6">
        <v>9.2813538333333359</v>
      </c>
      <c r="E54" s="7">
        <f>9.28135383333333 * $B$36 / 100</f>
        <v>9.2813538333333305</v>
      </c>
    </row>
    <row r="55" spans="1:5" x14ac:dyDescent="0.25">
      <c r="A55" s="5">
        <v>-33</v>
      </c>
      <c r="B55" s="6">
        <v>74.294935977706842</v>
      </c>
      <c r="C55" s="6">
        <f>74.2949359777068 * $B$36 / 100</f>
        <v>74.2949359777068</v>
      </c>
      <c r="D55" s="6">
        <v>9.3609968333333349</v>
      </c>
      <c r="E55" s="7">
        <f>9.36099683333333 * $B$36 / 100</f>
        <v>9.3609968333333295</v>
      </c>
    </row>
    <row r="56" spans="1:5" x14ac:dyDescent="0.25">
      <c r="A56" s="5">
        <v>-26</v>
      </c>
      <c r="B56" s="6">
        <v>75.03238416903298</v>
      </c>
      <c r="C56" s="6">
        <f>75.0323841690329 * $B$36 / 100</f>
        <v>75.032384169032895</v>
      </c>
      <c r="D56" s="6">
        <v>9.4539136666666685</v>
      </c>
      <c r="E56" s="7">
        <f>9.45391366666666 * $B$36 / 100</f>
        <v>9.4539136666666597</v>
      </c>
    </row>
    <row r="57" spans="1:5" x14ac:dyDescent="0.25">
      <c r="A57" s="5">
        <v>-20</v>
      </c>
      <c r="B57" s="6">
        <v>75.66448261874109</v>
      </c>
      <c r="C57" s="6">
        <f>75.664482618741 * $B$36 / 100</f>
        <v>75.664482618741005</v>
      </c>
      <c r="D57" s="6">
        <v>9.5335566666666676</v>
      </c>
      <c r="E57" s="7">
        <f>9.53355666666666 * $B$36 / 100</f>
        <v>9.5335566666666605</v>
      </c>
    </row>
    <row r="58" spans="1:5" x14ac:dyDescent="0.25">
      <c r="A58" s="5">
        <v>-14</v>
      </c>
      <c r="B58" s="6">
        <v>76.2965810684492</v>
      </c>
      <c r="C58" s="6">
        <f>76.2965810684492 * $B$36 / 100</f>
        <v>76.2965810684492</v>
      </c>
      <c r="D58" s="6">
        <v>9.6131996666666684</v>
      </c>
      <c r="E58" s="7">
        <f>9.61319966666666 * $B$36 / 100</f>
        <v>9.6131996666666595</v>
      </c>
    </row>
    <row r="59" spans="1:5" x14ac:dyDescent="0.25">
      <c r="A59" s="5">
        <v>-8</v>
      </c>
      <c r="B59" s="6">
        <v>76.92867951815731</v>
      </c>
      <c r="C59" s="6">
        <f>76.9286795181573 * $B$36 / 100</f>
        <v>76.928679518157296</v>
      </c>
      <c r="D59" s="6">
        <v>9.6928426666666692</v>
      </c>
      <c r="E59" s="7">
        <f>9.69284266666667 * $B$36 / 100</f>
        <v>9.6928426666666692</v>
      </c>
    </row>
    <row r="60" spans="1:5" x14ac:dyDescent="0.25">
      <c r="A60" s="5">
        <v>-1</v>
      </c>
      <c r="B60" s="6">
        <v>77.666127709483433</v>
      </c>
      <c r="C60" s="6">
        <f>77.6661277094834 * $B$36 / 100</f>
        <v>77.666127709483405</v>
      </c>
      <c r="D60" s="6">
        <v>9.7857595000000011</v>
      </c>
      <c r="E60" s="7">
        <f>9.7857595 * $B$36 / 100</f>
        <v>9.7857594999999993</v>
      </c>
    </row>
    <row r="61" spans="1:5" x14ac:dyDescent="0.25">
      <c r="A61" s="5">
        <v>5</v>
      </c>
      <c r="B61" s="6">
        <v>78.237391752940979</v>
      </c>
      <c r="C61" s="6">
        <f>78.2373917529409 * $B$36 / 100</f>
        <v>78.237391752940894</v>
      </c>
      <c r="D61" s="6">
        <v>9.8577375000000007</v>
      </c>
      <c r="E61" s="7">
        <f>9.8577375 * $B$36 / 100</f>
        <v>9.8577375000000007</v>
      </c>
    </row>
    <row r="62" spans="1:5" x14ac:dyDescent="0.25">
      <c r="A62" s="5">
        <v>11</v>
      </c>
      <c r="B62" s="6">
        <v>78.79648891514843</v>
      </c>
      <c r="C62" s="6">
        <f>78.7964889151484 * $B$36 / 100</f>
        <v>78.796488915148402</v>
      </c>
      <c r="D62" s="6">
        <v>9.9281825000000001</v>
      </c>
      <c r="E62" s="7">
        <f>9.9281825 * $B$36 / 100</f>
        <v>9.9281825000000001</v>
      </c>
    </row>
    <row r="63" spans="1:5" x14ac:dyDescent="0.25">
      <c r="A63" s="5">
        <v>18</v>
      </c>
      <c r="B63" s="6">
        <v>79.448768937723784</v>
      </c>
      <c r="C63" s="6">
        <f>79.4487689377237 * $B$36 / 100</f>
        <v>79.448768937723699</v>
      </c>
      <c r="D63" s="6">
        <v>10.010368333333339</v>
      </c>
      <c r="E63" s="7">
        <f>10.0103683333333 * $B$36 / 100</f>
        <v>10.0103683333333</v>
      </c>
    </row>
    <row r="64" spans="1:5" x14ac:dyDescent="0.25">
      <c r="A64" s="5">
        <v>24</v>
      </c>
      <c r="B64" s="6">
        <v>80.007866099931221</v>
      </c>
      <c r="C64" s="6">
        <f>80.0078660999312 * $B$36 / 100</f>
        <v>80.007866099931206</v>
      </c>
      <c r="D64" s="6">
        <v>10.08081333333333</v>
      </c>
      <c r="E64" s="7">
        <f>10.0808133333333 * $B$36 / 100</f>
        <v>10.0808133333333</v>
      </c>
    </row>
    <row r="65" spans="1:18" x14ac:dyDescent="0.25">
      <c r="A65" s="5">
        <v>30</v>
      </c>
      <c r="B65" s="6">
        <v>80.566963262138671</v>
      </c>
      <c r="C65" s="6">
        <f>80.5669632621386 * $B$36 / 100</f>
        <v>80.5669632621386</v>
      </c>
      <c r="D65" s="6">
        <v>10.151258333333329</v>
      </c>
      <c r="E65" s="7">
        <f>10.1512583333333 * $B$36 / 100</f>
        <v>10.151258333333301</v>
      </c>
    </row>
    <row r="66" spans="1:18" x14ac:dyDescent="0.25">
      <c r="A66" s="5">
        <v>36</v>
      </c>
      <c r="B66" s="6">
        <v>81.126060424346122</v>
      </c>
      <c r="C66" s="6">
        <f>81.1260604243461 * $B$36 / 100</f>
        <v>81.126060424346093</v>
      </c>
      <c r="D66" s="6">
        <v>10.22170333333333</v>
      </c>
      <c r="E66" s="7">
        <f>10.2217033333333 * $B$36 / 100</f>
        <v>10.2217033333333</v>
      </c>
    </row>
    <row r="67" spans="1:18" x14ac:dyDescent="0.25">
      <c r="A67" s="5">
        <v>43</v>
      </c>
      <c r="B67" s="6">
        <v>81.778340446921476</v>
      </c>
      <c r="C67" s="6">
        <f>81.7783404469214 * $B$36 / 100</f>
        <v>81.778340446921405</v>
      </c>
      <c r="D67" s="6">
        <v>10.30388916666667</v>
      </c>
      <c r="E67" s="7">
        <f>10.3038891666666 * $B$36 / 100</f>
        <v>10.3038891666666</v>
      </c>
    </row>
    <row r="68" spans="1:18" x14ac:dyDescent="0.25">
      <c r="A68" s="5">
        <v>49</v>
      </c>
      <c r="B68" s="6">
        <v>82.337437609128912</v>
      </c>
      <c r="C68" s="6">
        <f>82.3374376091289 * $B$36 / 100</f>
        <v>82.337437609128898</v>
      </c>
      <c r="D68" s="6">
        <v>10.374334166666671</v>
      </c>
      <c r="E68" s="7">
        <f>10.3743341666666 * $B$36 / 100</f>
        <v>10.3743341666666</v>
      </c>
    </row>
    <row r="69" spans="1:18" x14ac:dyDescent="0.25">
      <c r="A69" s="5">
        <v>55</v>
      </c>
      <c r="B69" s="6">
        <v>82.896534771336363</v>
      </c>
      <c r="C69" s="6">
        <f>82.8965347713363 * $B$36 / 100</f>
        <v>82.896534771336306</v>
      </c>
      <c r="D69" s="6">
        <v>10.44477916666667</v>
      </c>
      <c r="E69" s="7">
        <f>10.4447791666666 * $B$36 / 100</f>
        <v>10.444779166666599</v>
      </c>
    </row>
    <row r="70" spans="1:18" x14ac:dyDescent="0.25">
      <c r="A70" s="5">
        <v>61</v>
      </c>
      <c r="B70" s="6">
        <v>83.455631933543799</v>
      </c>
      <c r="C70" s="6">
        <f>83.4556319335438 * $B$36 / 100</f>
        <v>83.455631933543785</v>
      </c>
      <c r="D70" s="6">
        <v>10.51522416666667</v>
      </c>
      <c r="E70" s="7">
        <f>10.5152241666666 * $B$36 / 100</f>
        <v>10.5152241666666</v>
      </c>
    </row>
    <row r="71" spans="1:18" x14ac:dyDescent="0.25">
      <c r="A71" s="5">
        <v>68</v>
      </c>
      <c r="B71" s="6">
        <v>84.107911956119153</v>
      </c>
      <c r="C71" s="6">
        <f>84.1079119561191 * $B$36 / 100</f>
        <v>84.107911956119096</v>
      </c>
      <c r="D71" s="6">
        <v>10.59741</v>
      </c>
      <c r="E71" s="7">
        <f>10.59741 * $B$36 / 100</f>
        <v>10.59741</v>
      </c>
    </row>
    <row r="72" spans="1:18" x14ac:dyDescent="0.25">
      <c r="A72" s="5">
        <v>74</v>
      </c>
      <c r="B72" s="6">
        <v>84.667009118326604</v>
      </c>
      <c r="C72" s="6">
        <f>84.6670091183266 * $B$36 / 100</f>
        <v>84.667009118326604</v>
      </c>
      <c r="D72" s="6">
        <v>10.667854999999999</v>
      </c>
      <c r="E72" s="7">
        <f>10.667855 * $B$36 / 100</f>
        <v>10.667854999999999</v>
      </c>
    </row>
    <row r="73" spans="1:18" x14ac:dyDescent="0.25">
      <c r="A73" s="8">
        <v>80</v>
      </c>
      <c r="B73" s="9">
        <v>85.226106280534054</v>
      </c>
      <c r="C73" s="9">
        <f>85.226106280534 * $B$36 / 100</f>
        <v>85.226106280533998</v>
      </c>
      <c r="D73" s="9">
        <v>10.738300000000001</v>
      </c>
      <c r="E73" s="10">
        <f>10.7383 * $B$36 / 100</f>
        <v>10.738300000000002</v>
      </c>
    </row>
    <row r="75" spans="1:18" ht="28.9" customHeight="1" x14ac:dyDescent="0.5">
      <c r="A75" s="1" t="s">
        <v>23</v>
      </c>
      <c r="B75" s="1"/>
    </row>
    <row r="76" spans="1:18" x14ac:dyDescent="0.25">
      <c r="A76" s="21" t="s">
        <v>24</v>
      </c>
      <c r="B76" s="22">
        <v>0</v>
      </c>
      <c r="C76" s="22">
        <v>6.25</v>
      </c>
      <c r="D76" s="22">
        <v>12.5</v>
      </c>
      <c r="E76" s="22">
        <v>18.75</v>
      </c>
      <c r="F76" s="22">
        <v>25</v>
      </c>
      <c r="G76" s="22">
        <v>31.25</v>
      </c>
      <c r="H76" s="22">
        <v>37.5</v>
      </c>
      <c r="I76" s="22">
        <v>43.75</v>
      </c>
      <c r="J76" s="22">
        <v>50</v>
      </c>
      <c r="K76" s="22">
        <v>56.25</v>
      </c>
      <c r="L76" s="22">
        <v>62.5</v>
      </c>
      <c r="M76" s="22">
        <v>68.75</v>
      </c>
      <c r="N76" s="22">
        <v>75</v>
      </c>
      <c r="O76" s="22">
        <v>81.25</v>
      </c>
      <c r="P76" s="22">
        <v>87.5</v>
      </c>
      <c r="Q76" s="22">
        <v>93.75</v>
      </c>
      <c r="R76" s="23">
        <v>100</v>
      </c>
    </row>
    <row r="77" spans="1:18" x14ac:dyDescent="0.25">
      <c r="A77" s="5" t="s">
        <v>25</v>
      </c>
      <c r="B77" s="6">
        <f>0 * $B$38 + (1 - 0) * $B$37</f>
        <v>14.7</v>
      </c>
      <c r="C77" s="6">
        <f>0.0625 * $B$38 + (1 - 0.0625) * $B$37</f>
        <v>14.344250000000001</v>
      </c>
      <c r="D77" s="6">
        <f>0.125 * $B$38 + (1 - 0.125) * $B$37</f>
        <v>13.988499999999998</v>
      </c>
      <c r="E77" s="6">
        <f>0.1875 * $B$38 + (1 - 0.1875) * $B$37</f>
        <v>13.63275</v>
      </c>
      <c r="F77" s="6">
        <f>0.25 * $B$38 + (1 - 0.25) * $B$37</f>
        <v>13.276999999999997</v>
      </c>
      <c r="G77" s="6">
        <f>0.3125 * $B$38 + (1 - 0.3125) * $B$37</f>
        <v>12.921249999999999</v>
      </c>
      <c r="H77" s="6">
        <f>0.375 * $B$38 + (1 - 0.375) * $B$37</f>
        <v>12.5655</v>
      </c>
      <c r="I77" s="6">
        <f>0.4375 * $B$38 + (1 - 0.4375) * $B$37</f>
        <v>12.20975</v>
      </c>
      <c r="J77" s="6">
        <f>0.5 * $B$38 + (1 - 0.5) * $B$37</f>
        <v>11.853999999999999</v>
      </c>
      <c r="K77" s="6">
        <f>0.5625 * $B$38 + (1 - 0.5625) * $B$37</f>
        <v>11.498249999999999</v>
      </c>
      <c r="L77" s="6">
        <f>0.625 * $B$38 + (1 - 0.625) * $B$37</f>
        <v>11.142499999999998</v>
      </c>
      <c r="M77" s="6">
        <f>0.6875 * $B$38 + (1 - 0.6875) * $B$37</f>
        <v>10.78675</v>
      </c>
      <c r="N77" s="6">
        <f>0.75 * $B$38 + (1 - 0.75) * $B$37</f>
        <v>10.430999999999999</v>
      </c>
      <c r="O77" s="6">
        <f>0.8125 * $B$38 + (1 - 0.8125) * $B$37</f>
        <v>10.075249999999999</v>
      </c>
      <c r="P77" s="6">
        <f>0.875 * $B$38 + (1 - 0.875) * $B$37</f>
        <v>9.7195</v>
      </c>
      <c r="Q77" s="6">
        <f>0.9375 * $B$38 + (1 - 0.9375) * $B$37</f>
        <v>9.3637499999999978</v>
      </c>
      <c r="R77" s="7">
        <f>1 * $B$38 + (1 - 1) * $B$37</f>
        <v>9.0079999999999991</v>
      </c>
    </row>
    <row r="78" spans="1:18" x14ac:dyDescent="0.25">
      <c r="A78" s="8" t="s">
        <v>26</v>
      </c>
      <c r="B78" s="9">
        <f>(0 * $B$38 + (1 - 0) * $B$37) * $B$36 / 100</f>
        <v>14.7</v>
      </c>
      <c r="C78" s="9">
        <f>(0.0625 * $B$38 + (1 - 0.0625) * $B$37) * $B$36 / 100</f>
        <v>14.344249999999999</v>
      </c>
      <c r="D78" s="9">
        <f>(0.125 * $B$38 + (1 - 0.125) * $B$37) * $B$36 / 100</f>
        <v>13.988499999999998</v>
      </c>
      <c r="E78" s="9">
        <f>(0.1875 * $B$38 + (1 - 0.1875) * $B$37) * $B$36 / 100</f>
        <v>13.632749999999998</v>
      </c>
      <c r="F78" s="9">
        <f>(0.25 * $B$38 + (1 - 0.25) * $B$37) * $B$36 / 100</f>
        <v>13.276999999999997</v>
      </c>
      <c r="G78" s="9">
        <f>(0.3125 * $B$38 + (1 - 0.3125) * $B$37) * $B$36 / 100</f>
        <v>12.921249999999997</v>
      </c>
      <c r="H78" s="9">
        <f>(0.375 * $B$38 + (1 - 0.375) * $B$37) * $B$36 / 100</f>
        <v>12.5655</v>
      </c>
      <c r="I78" s="9">
        <f>(0.4375 * $B$38 + (1 - 0.4375) * $B$37) * $B$36 / 100</f>
        <v>12.20975</v>
      </c>
      <c r="J78" s="9">
        <f>(0.5 * $B$38 + (1 - 0.5) * $B$37) * $B$36 / 100</f>
        <v>11.853999999999999</v>
      </c>
      <c r="K78" s="9">
        <f>(0.5625 * $B$38 + (1 - 0.5625) * $B$37) * $B$36 / 100</f>
        <v>11.498249999999999</v>
      </c>
      <c r="L78" s="9">
        <f>(0.625 * $B$38 + (1 - 0.625) * $B$37) * $B$36 / 100</f>
        <v>11.142499999999998</v>
      </c>
      <c r="M78" s="9">
        <f>(0.6875 * $B$38 + (1 - 0.6875) * $B$37) * $B$36 / 100</f>
        <v>10.78675</v>
      </c>
      <c r="N78" s="9">
        <f>(0.75 * $B$38 + (1 - 0.75) * $B$37) * $B$36 / 100</f>
        <v>10.430999999999999</v>
      </c>
      <c r="O78" s="9">
        <f>(0.8125 * $B$38 + (1 - 0.8125) * $B$37) * $B$36 / 100</f>
        <v>10.075249999999999</v>
      </c>
      <c r="P78" s="9">
        <f>(0.875 * $B$38 + (1 - 0.875) * $B$37) * $B$36 / 100</f>
        <v>9.7195</v>
      </c>
      <c r="Q78" s="9">
        <f>(0.9375 * $B$38 + (1 - 0.9375) * $B$37) * $B$36 / 100</f>
        <v>9.3637499999999978</v>
      </c>
      <c r="R78" s="10">
        <f>(1 * $B$38 + (1 - 1) * $B$37) * $B$36 / 100</f>
        <v>9.0079999999999991</v>
      </c>
    </row>
    <row r="80" spans="1:18" ht="28.9" customHeight="1" x14ac:dyDescent="0.5">
      <c r="A80" s="1" t="s">
        <v>27</v>
      </c>
      <c r="B80" s="1"/>
    </row>
    <row r="81" spans="1:34" x14ac:dyDescent="0.25">
      <c r="A81" s="24" t="s">
        <v>28</v>
      </c>
      <c r="B81" s="25" t="s">
        <v>29</v>
      </c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25"/>
      <c r="V81" s="25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6"/>
    </row>
    <row r="82" spans="1:34" x14ac:dyDescent="0.25">
      <c r="A82" s="27" t="s">
        <v>18</v>
      </c>
      <c r="B82" s="28">
        <v>4.5</v>
      </c>
      <c r="C82" s="28">
        <v>5</v>
      </c>
      <c r="D82" s="28">
        <v>5.5</v>
      </c>
      <c r="E82" s="28">
        <v>6</v>
      </c>
      <c r="F82" s="28">
        <v>6.5</v>
      </c>
      <c r="G82" s="28">
        <v>7</v>
      </c>
      <c r="H82" s="28">
        <v>7.5</v>
      </c>
      <c r="I82" s="28">
        <v>8</v>
      </c>
      <c r="J82" s="28">
        <v>8.5</v>
      </c>
      <c r="K82" s="28">
        <v>9</v>
      </c>
      <c r="L82" s="28">
        <v>9.5</v>
      </c>
      <c r="M82" s="28">
        <v>10</v>
      </c>
      <c r="N82" s="28">
        <v>10.5</v>
      </c>
      <c r="O82" s="28">
        <v>11</v>
      </c>
      <c r="P82" s="28">
        <v>11.5</v>
      </c>
      <c r="Q82" s="28">
        <v>12</v>
      </c>
      <c r="R82" s="28">
        <v>12.5</v>
      </c>
      <c r="S82" s="28">
        <v>13</v>
      </c>
      <c r="T82" s="28">
        <v>13.5</v>
      </c>
      <c r="U82" s="28">
        <v>14</v>
      </c>
      <c r="V82" s="28">
        <v>14.5</v>
      </c>
      <c r="W82" s="28">
        <v>15</v>
      </c>
      <c r="X82" s="28">
        <v>15.5</v>
      </c>
      <c r="Y82" s="28">
        <v>16</v>
      </c>
      <c r="Z82" s="28">
        <v>16.5</v>
      </c>
      <c r="AA82" s="28">
        <v>17</v>
      </c>
      <c r="AB82" s="28">
        <v>17.5</v>
      </c>
      <c r="AC82" s="28">
        <v>18</v>
      </c>
      <c r="AD82" s="28">
        <v>18.5</v>
      </c>
      <c r="AE82" s="28">
        <v>19</v>
      </c>
      <c r="AF82" s="28">
        <v>19.5</v>
      </c>
      <c r="AG82" s="28">
        <v>20</v>
      </c>
      <c r="AH82" s="29">
        <v>20.5</v>
      </c>
    </row>
    <row r="83" spans="1:34" x14ac:dyDescent="0.25">
      <c r="A83" s="30">
        <v>-120</v>
      </c>
      <c r="B83" s="31">
        <v>8.2966892629499664</v>
      </c>
      <c r="C83" s="31">
        <v>7.2703148895050438</v>
      </c>
      <c r="D83" s="31">
        <v>6.3587223773251722</v>
      </c>
      <c r="E83" s="31">
        <v>5.552715313347214</v>
      </c>
      <c r="F83" s="31">
        <v>4.8434819838193999</v>
      </c>
      <c r="G83" s="31">
        <v>4.2225953743012772</v>
      </c>
      <c r="H83" s="31">
        <v>3.6820131696637528</v>
      </c>
      <c r="I83" s="31">
        <v>3.2140777540890739</v>
      </c>
      <c r="J83" s="31">
        <v>2.8115162110708392</v>
      </c>
      <c r="K83" s="31">
        <v>2.4674403234139759</v>
      </c>
      <c r="L83" s="31">
        <v>2.1753465732347861</v>
      </c>
      <c r="M83" s="31">
        <v>1.9291161419608791</v>
      </c>
      <c r="N83" s="31">
        <v>1.723014910331236</v>
      </c>
      <c r="O83" s="31">
        <v>1.551693458396171</v>
      </c>
      <c r="P83" s="31">
        <v>1.4101870655173609</v>
      </c>
      <c r="Q83" s="31">
        <v>1.293915710367769</v>
      </c>
      <c r="R83" s="31">
        <v>1.198684070931803</v>
      </c>
      <c r="S83" s="31">
        <v>1.1206815245051169</v>
      </c>
      <c r="T83" s="31">
        <v>1.056482147694783</v>
      </c>
      <c r="U83" s="31">
        <v>1.0030447164191669</v>
      </c>
      <c r="V83" s="31">
        <v>0.95771270590799595</v>
      </c>
      <c r="W83" s="31">
        <v>0.91821429070235527</v>
      </c>
      <c r="X83" s="31">
        <v>0.88266234465466553</v>
      </c>
      <c r="Y83" s="31">
        <v>0.84955444092869215</v>
      </c>
      <c r="Z83" s="31">
        <v>0.81777285199953553</v>
      </c>
      <c r="AA83" s="31">
        <v>0.78658454965366431</v>
      </c>
      <c r="AB83" s="31">
        <v>0.75564120498884113</v>
      </c>
      <c r="AC83" s="31">
        <v>0.72497918841425957</v>
      </c>
      <c r="AD83" s="31">
        <v>0.6950195696503807</v>
      </c>
      <c r="AE83" s="31">
        <v>0.66656811772904978</v>
      </c>
      <c r="AF83" s="31">
        <v>0.64081530099343831</v>
      </c>
      <c r="AG83" s="31">
        <v>0.61933628709802246</v>
      </c>
      <c r="AH83" s="32">
        <v>0.60409094300875676</v>
      </c>
    </row>
    <row r="84" spans="1:34" x14ac:dyDescent="0.25">
      <c r="A84" s="30">
        <v>-114</v>
      </c>
      <c r="B84" s="31">
        <v>8.374663907561203</v>
      </c>
      <c r="C84" s="31">
        <v>7.3394237069353352</v>
      </c>
      <c r="D84" s="31">
        <v>6.4196787715558887</v>
      </c>
      <c r="E84" s="31">
        <v>5.6062037530214326</v>
      </c>
      <c r="F84" s="31">
        <v>4.8901580022418756</v>
      </c>
      <c r="G84" s="31">
        <v>4.2630855694384717</v>
      </c>
      <c r="H84" s="31">
        <v>3.7169152041438172</v>
      </c>
      <c r="I84" s="31">
        <v>3.2439603552018572</v>
      </c>
      <c r="J84" s="31">
        <v>2.836919170767874</v>
      </c>
      <c r="K84" s="31">
        <v>2.488874498308502</v>
      </c>
      <c r="L84" s="31">
        <v>2.1932938846017289</v>
      </c>
      <c r="M84" s="31">
        <v>1.944029575736856</v>
      </c>
      <c r="N84" s="31">
        <v>1.7353185171145771</v>
      </c>
      <c r="O84" s="31">
        <v>1.561782353446876</v>
      </c>
      <c r="P84" s="31">
        <v>1.418427428757129</v>
      </c>
      <c r="Q84" s="31">
        <v>1.300644786380013</v>
      </c>
      <c r="R84" s="31">
        <v>1.204210168961606</v>
      </c>
      <c r="S84" s="31">
        <v>1.125284018459288</v>
      </c>
      <c r="T84" s="31">
        <v>1.0604114761417689</v>
      </c>
      <c r="U84" s="31">
        <v>1.006522382589168</v>
      </c>
      <c r="V84" s="31">
        <v>0.96093127769287356</v>
      </c>
      <c r="W84" s="31">
        <v>0.9213374006556837</v>
      </c>
      <c r="X84" s="31">
        <v>0.88582468999168629</v>
      </c>
      <c r="Y84" s="31">
        <v>0.85286178352637865</v>
      </c>
      <c r="Z84" s="31">
        <v>0.82130201839651917</v>
      </c>
      <c r="AA84" s="31">
        <v>0.79038343105028008</v>
      </c>
      <c r="AB84" s="31">
        <v>0.75972875724713884</v>
      </c>
      <c r="AC84" s="31">
        <v>0.72934543205794</v>
      </c>
      <c r="AD84" s="31">
        <v>0.69962558986488321</v>
      </c>
      <c r="AE84" s="31">
        <v>0.671346064361515</v>
      </c>
      <c r="AF84" s="31">
        <v>0.64566838855262898</v>
      </c>
      <c r="AG84" s="31">
        <v>0.62413879475451506</v>
      </c>
      <c r="AH84" s="32">
        <v>0.60868821459469302</v>
      </c>
    </row>
    <row r="85" spans="1:34" x14ac:dyDescent="0.25">
      <c r="A85" s="30">
        <v>-108</v>
      </c>
      <c r="B85" s="31">
        <v>8.4533021164000388</v>
      </c>
      <c r="C85" s="31">
        <v>7.4091461351985259</v>
      </c>
      <c r="D85" s="31">
        <v>6.4812007779687848</v>
      </c>
      <c r="E85" s="31">
        <v>5.6602117609710696</v>
      </c>
      <c r="F85" s="31">
        <v>4.9373094997769886</v>
      </c>
      <c r="G85" s="31">
        <v>4.304009109269483</v>
      </c>
      <c r="H85" s="31">
        <v>3.752210403642851</v>
      </c>
      <c r="I85" s="31">
        <v>3.2741978964027232</v>
      </c>
      <c r="J85" s="31">
        <v>2.8626408003660981</v>
      </c>
      <c r="K85" s="31">
        <v>2.5105930276612769</v>
      </c>
      <c r="L85" s="31">
        <v>2.2114931897279542</v>
      </c>
      <c r="M85" s="31">
        <v>1.959164597317127</v>
      </c>
      <c r="N85" s="31">
        <v>1.747815260491171</v>
      </c>
      <c r="O85" s="31">
        <v>1.572037888623778</v>
      </c>
      <c r="P85" s="31">
        <v>1.4268098904000159</v>
      </c>
      <c r="Q85" s="31">
        <v>1.3074933738162571</v>
      </c>
      <c r="R85" s="31">
        <v>1.2098351461802661</v>
      </c>
      <c r="S85" s="31">
        <v>1.1299667141111109</v>
      </c>
      <c r="T85" s="31">
        <v>1.064404283539234</v>
      </c>
      <c r="U85" s="31">
        <v>1.010048759706395</v>
      </c>
      <c r="V85" s="31">
        <v>0.96418574716569705</v>
      </c>
      <c r="W85" s="31">
        <v>0.92448554978165731</v>
      </c>
      <c r="X85" s="31">
        <v>0.88900317073002832</v>
      </c>
      <c r="Y85" s="31">
        <v>0.8561783124980169</v>
      </c>
      <c r="Z85" s="31">
        <v>0.82483537688406017</v>
      </c>
      <c r="AA85" s="31">
        <v>0.79418346499804948</v>
      </c>
      <c r="AB85" s="31">
        <v>0.76381637726112572</v>
      </c>
      <c r="AC85" s="31">
        <v>0.73371261340586713</v>
      </c>
      <c r="AD85" s="31">
        <v>0.70423537247611623</v>
      </c>
      <c r="AE85" s="31">
        <v>0.67613255282714879</v>
      </c>
      <c r="AF85" s="31">
        <v>0.65053675212546858</v>
      </c>
      <c r="AG85" s="31">
        <v>0.62896526734898128</v>
      </c>
      <c r="AH85" s="32">
        <v>0.61332009478699945</v>
      </c>
    </row>
    <row r="86" spans="1:34" x14ac:dyDescent="0.25">
      <c r="A86" s="30">
        <v>-101</v>
      </c>
      <c r="B86" s="31">
        <v>8.5458864925193012</v>
      </c>
      <c r="C86" s="31">
        <v>7.4912655878090719</v>
      </c>
      <c r="D86" s="31">
        <v>6.5536923628293584</v>
      </c>
      <c r="E86" s="31">
        <v>5.7238787759457406</v>
      </c>
      <c r="F86" s="31">
        <v>4.9929214848351258</v>
      </c>
      <c r="G86" s="31">
        <v>4.3523018464857737</v>
      </c>
      <c r="H86" s="31">
        <v>3.7938859171972861</v>
      </c>
      <c r="I86" s="31">
        <v>3.3099244525806082</v>
      </c>
      <c r="J86" s="31">
        <v>2.8930529075580358</v>
      </c>
      <c r="K86" s="31">
        <v>2.536291436363197</v>
      </c>
      <c r="L86" s="31">
        <v>2.233044892541086</v>
      </c>
      <c r="M86" s="31">
        <v>1.9771028289480139</v>
      </c>
      <c r="N86" s="31">
        <v>1.7626394977516679</v>
      </c>
      <c r="O86" s="31">
        <v>1.5842138504310459</v>
      </c>
      <c r="P86" s="31">
        <v>1.4367695377765239</v>
      </c>
      <c r="Q86" s="31">
        <v>1.3156349098897839</v>
      </c>
      <c r="R86" s="31">
        <v>1.2165230161839009</v>
      </c>
      <c r="S86" s="31">
        <v>1.135531605383264</v>
      </c>
      <c r="T86" s="31">
        <v>1.0691431255236059</v>
      </c>
      <c r="U86" s="31">
        <v>1.0142247239520099</v>
      </c>
      <c r="V86" s="31">
        <v>0.96802824732689685</v>
      </c>
      <c r="W86" s="31">
        <v>0.92819024161805785</v>
      </c>
      <c r="X86" s="31">
        <v>0.89273195210660805</v>
      </c>
      <c r="Y86" s="31">
        <v>0.86005932338500535</v>
      </c>
      <c r="Z86" s="31">
        <v>0.82896299935705275</v>
      </c>
      <c r="AA86" s="31">
        <v>0.79861832323790682</v>
      </c>
      <c r="AB86" s="31">
        <v>0.76858533755405756</v>
      </c>
      <c r="AC86" s="31">
        <v>0.73880878414335149</v>
      </c>
      <c r="AD86" s="31">
        <v>0.70961810415498749</v>
      </c>
      <c r="AE86" s="31">
        <v>0.6817274380494992</v>
      </c>
      <c r="AF86" s="31">
        <v>0.65623562559873239</v>
      </c>
      <c r="AG86" s="31">
        <v>0.63462620588591534</v>
      </c>
      <c r="AH86" s="32">
        <v>0.61876741730564067</v>
      </c>
    </row>
    <row r="87" spans="1:34" x14ac:dyDescent="0.25">
      <c r="A87" s="30">
        <v>-95</v>
      </c>
      <c r="B87" s="31">
        <v>8.6259653249039818</v>
      </c>
      <c r="C87" s="31">
        <v>7.5623202942144792</v>
      </c>
      <c r="D87" s="31">
        <v>6.6164425372594504</v>
      </c>
      <c r="E87" s="31">
        <v>5.7790150770661564</v>
      </c>
      <c r="F87" s="31">
        <v>5.0411056359732003</v>
      </c>
      <c r="G87" s="31">
        <v>4.3941666356305351</v>
      </c>
      <c r="H87" s="31">
        <v>3.8300351969994542</v>
      </c>
      <c r="I87" s="31">
        <v>3.3409331403526039</v>
      </c>
      <c r="J87" s="31">
        <v>2.9194669852739672</v>
      </c>
      <c r="K87" s="31">
        <v>2.5586279506588681</v>
      </c>
      <c r="L87" s="31">
        <v>2.2517919547140042</v>
      </c>
      <c r="M87" s="31">
        <v>1.992719614957368</v>
      </c>
      <c r="N87" s="31">
        <v>1.77555624821835</v>
      </c>
      <c r="O87" s="31">
        <v>1.5948318706376321</v>
      </c>
      <c r="P87" s="31">
        <v>1.445461197667288</v>
      </c>
      <c r="Q87" s="31">
        <v>1.322743644070701</v>
      </c>
      <c r="R87" s="31">
        <v>1.2223633239226419</v>
      </c>
      <c r="S87" s="31">
        <v>1.1403890506091801</v>
      </c>
      <c r="T87" s="31">
        <v>1.073274336827748</v>
      </c>
      <c r="U87" s="31">
        <v>1.0178573945871321</v>
      </c>
      <c r="V87" s="31">
        <v>0.97136113520743272</v>
      </c>
      <c r="W87" s="31">
        <v>0.93139316932015237</v>
      </c>
      <c r="X87" s="31">
        <v>0.89594580686807779</v>
      </c>
      <c r="Y87" s="31">
        <v>0.86339605710537271</v>
      </c>
      <c r="Z87" s="31">
        <v>0.83250562859755917</v>
      </c>
      <c r="AA87" s="31">
        <v>0.8024209292214477</v>
      </c>
      <c r="AB87" s="31">
        <v>0.77267306616522569</v>
      </c>
      <c r="AC87" s="31">
        <v>0.74317784592845026</v>
      </c>
      <c r="AD87" s="31">
        <v>0.71423577432201679</v>
      </c>
      <c r="AE87" s="31">
        <v>0.68653205646816706</v>
      </c>
      <c r="AF87" s="31">
        <v>0.66113659680038961</v>
      </c>
      <c r="AG87" s="31">
        <v>0.6395039990636705</v>
      </c>
      <c r="AH87" s="32">
        <v>0.62347356631423878</v>
      </c>
    </row>
    <row r="88" spans="1:34" x14ac:dyDescent="0.25">
      <c r="A88" s="30">
        <v>-89</v>
      </c>
      <c r="B88" s="31">
        <v>8.7067104017887917</v>
      </c>
      <c r="C88" s="31">
        <v>7.6339911873729243</v>
      </c>
      <c r="D88" s="31">
        <v>6.6797607954394467</v>
      </c>
      <c r="E88" s="31">
        <v>5.8346733136773006</v>
      </c>
      <c r="F88" s="31">
        <v>5.0897675290868003</v>
      </c>
      <c r="G88" s="31">
        <v>4.4364669279795983</v>
      </c>
      <c r="H88" s="31">
        <v>3.86657969597867</v>
      </c>
      <c r="I88" s="31">
        <v>3.3722987180183561</v>
      </c>
      <c r="J88" s="31">
        <v>2.9462015783443412</v>
      </c>
      <c r="K88" s="31">
        <v>2.5812505605136411</v>
      </c>
      <c r="L88" s="31">
        <v>2.2707926473946389</v>
      </c>
      <c r="M88" s="31">
        <v>2.0085595211670251</v>
      </c>
      <c r="N88" s="31">
        <v>1.7886675633218929</v>
      </c>
      <c r="O88" s="31">
        <v>1.605617854661614</v>
      </c>
      <c r="P88" s="31">
        <v>1.454296175299957</v>
      </c>
      <c r="Q88" s="31">
        <v>1.3299730046619971</v>
      </c>
      <c r="R88" s="31">
        <v>1.228303521484186</v>
      </c>
      <c r="S88" s="31">
        <v>1.145327603814303</v>
      </c>
      <c r="T88" s="31">
        <v>1.0774698290114879</v>
      </c>
      <c r="U88" s="31">
        <v>1.0215394737462009</v>
      </c>
      <c r="V88" s="31">
        <v>0.97473051400024413</v>
      </c>
      <c r="W88" s="31">
        <v>0.93462162506679825</v>
      </c>
      <c r="X88" s="31">
        <v>0.89917618155036283</v>
      </c>
      <c r="Y88" s="31">
        <v>0.86674225736680732</v>
      </c>
      <c r="Z88" s="31">
        <v>0.83605262574330641</v>
      </c>
      <c r="AA88" s="31">
        <v>0.80622475921839865</v>
      </c>
      <c r="AB88" s="31">
        <v>0.77676082964196524</v>
      </c>
      <c r="AC88" s="31">
        <v>0.74754770817526162</v>
      </c>
      <c r="AD88" s="31">
        <v>0.71885696529083654</v>
      </c>
      <c r="AE88" s="31">
        <v>0.69134487077266027</v>
      </c>
      <c r="AF88" s="31">
        <v>0.66605239371591574</v>
      </c>
      <c r="AG88" s="31">
        <v>0.64440520252725975</v>
      </c>
      <c r="AH88" s="32">
        <v>0.62821366492463671</v>
      </c>
    </row>
    <row r="89" spans="1:34" x14ac:dyDescent="0.25">
      <c r="A89" s="30">
        <v>-83</v>
      </c>
      <c r="B89" s="31">
        <v>8.7881225718282039</v>
      </c>
      <c r="C89" s="31">
        <v>7.7062790829854597</v>
      </c>
      <c r="D89" s="31">
        <v>6.7436479201169934</v>
      </c>
      <c r="E89" s="31">
        <v>5.8908542355734461</v>
      </c>
      <c r="F89" s="31">
        <v>5.1389078810168174</v>
      </c>
      <c r="G89" s="31">
        <v>4.479203407420445</v>
      </c>
      <c r="H89" s="31">
        <v>3.9035200650690189</v>
      </c>
      <c r="I89" s="31">
        <v>3.4040218035585599</v>
      </c>
      <c r="J89" s="31">
        <v>2.973257271796458</v>
      </c>
      <c r="K89" s="31">
        <v>2.6041598180014089</v>
      </c>
      <c r="L89" s="31">
        <v>2.2900474897034941</v>
      </c>
      <c r="M89" s="31">
        <v>2.0246230337441178</v>
      </c>
      <c r="N89" s="31">
        <v>1.8019738962760361</v>
      </c>
      <c r="O89" s="31">
        <v>1.6165722227633299</v>
      </c>
      <c r="P89" s="31">
        <v>1.4632748579814649</v>
      </c>
      <c r="Q89" s="31">
        <v>1.337323346017204</v>
      </c>
      <c r="R89" s="31">
        <v>1.234343930268706</v>
      </c>
      <c r="S89" s="31">
        <v>1.1503475534454299</v>
      </c>
      <c r="T89" s="31">
        <v>1.0817298575682199</v>
      </c>
      <c r="U89" s="31">
        <v>1.025271183969209</v>
      </c>
      <c r="V89" s="31">
        <v>0.97813657329191794</v>
      </c>
      <c r="W89" s="31">
        <v>0.93787576549122054</v>
      </c>
      <c r="X89" s="31">
        <v>0.90242319983328656</v>
      </c>
      <c r="Y89" s="31">
        <v>0.87009801489570282</v>
      </c>
      <c r="Z89" s="31">
        <v>0.83960404856732374</v>
      </c>
      <c r="AA89" s="31">
        <v>0.81002983804840434</v>
      </c>
      <c r="AB89" s="31">
        <v>0.78084861985050202</v>
      </c>
      <c r="AC89" s="31">
        <v>0.75191832979656315</v>
      </c>
      <c r="AD89" s="31">
        <v>0.72348160302084363</v>
      </c>
      <c r="AE89" s="31">
        <v>0.69616577396899959</v>
      </c>
      <c r="AF89" s="31">
        <v>0.67098287639789334</v>
      </c>
      <c r="AG89" s="31">
        <v>0.64932964337591415</v>
      </c>
      <c r="AH89" s="32">
        <v>0.63298750728268516</v>
      </c>
    </row>
    <row r="90" spans="1:34" x14ac:dyDescent="0.25">
      <c r="A90" s="30">
        <v>-76</v>
      </c>
      <c r="B90" s="31">
        <v>8.8839477021968083</v>
      </c>
      <c r="C90" s="31">
        <v>7.7913958734796314</v>
      </c>
      <c r="D90" s="31">
        <v>6.8189029287231122</v>
      </c>
      <c r="E90" s="31">
        <v>5.9570602623832096</v>
      </c>
      <c r="F90" s="31">
        <v>5.1968439682272267</v>
      </c>
      <c r="G90" s="31">
        <v>4.5296148393338207</v>
      </c>
      <c r="H90" s="31">
        <v>3.9471183680929798</v>
      </c>
      <c r="I90" s="31">
        <v>3.4414847462060449</v>
      </c>
      <c r="J90" s="31">
        <v>3.0052288646857059</v>
      </c>
      <c r="K90" s="31">
        <v>2.631250313855976</v>
      </c>
      <c r="L90" s="31">
        <v>2.3128333833522441</v>
      </c>
      <c r="M90" s="31">
        <v>2.0436470621212179</v>
      </c>
      <c r="N90" s="31">
        <v>1.817745038420973</v>
      </c>
      <c r="O90" s="31">
        <v>1.629565699820902</v>
      </c>
      <c r="P90" s="31">
        <v>1.473932133201777</v>
      </c>
      <c r="Q90" s="31">
        <v>1.3460521247556601</v>
      </c>
      <c r="R90" s="31">
        <v>1.241518159986029</v>
      </c>
      <c r="S90" s="31">
        <v>1.156307423707664</v>
      </c>
      <c r="T90" s="31">
        <v>1.08678180004669</v>
      </c>
      <c r="U90" s="31">
        <v>1.02968787244057</v>
      </c>
      <c r="V90" s="31">
        <v>0.98215692363813856</v>
      </c>
      <c r="W90" s="31">
        <v>0.9417049356995727</v>
      </c>
      <c r="X90" s="31">
        <v>0.90623258999635337</v>
      </c>
      <c r="Y90" s="31">
        <v>0.87402526721137797</v>
      </c>
      <c r="Z90" s="31">
        <v>0.84375304733880829</v>
      </c>
      <c r="AA90" s="31">
        <v>0.81447070968419777</v>
      </c>
      <c r="AB90" s="31">
        <v>0.78561773286444825</v>
      </c>
      <c r="AC90" s="31">
        <v>0.7570182948077715</v>
      </c>
      <c r="AD90" s="31">
        <v>0.7288812727537638</v>
      </c>
      <c r="AE90" s="31">
        <v>0.70180024325337365</v>
      </c>
      <c r="AF90" s="31">
        <v>0.67675348216879172</v>
      </c>
      <c r="AG90" s="31">
        <v>0.65510396467368548</v>
      </c>
      <c r="AH90" s="32">
        <v>0.63859936525303596</v>
      </c>
    </row>
    <row r="91" spans="1:34" x14ac:dyDescent="0.25">
      <c r="A91" s="30">
        <v>-70</v>
      </c>
      <c r="B91" s="31">
        <v>8.9668081572458167</v>
      </c>
      <c r="C91" s="31">
        <v>7.8650234112022401</v>
      </c>
      <c r="D91" s="31">
        <v>6.8840252878898092</v>
      </c>
      <c r="E91" s="31">
        <v>6.0143762464261679</v>
      </c>
      <c r="F91" s="31">
        <v>5.2470234452403304</v>
      </c>
      <c r="G91" s="31">
        <v>4.5732987420726374</v>
      </c>
      <c r="H91" s="31">
        <v>3.9849186939747732</v>
      </c>
      <c r="I91" s="31">
        <v>3.473984557309775</v>
      </c>
      <c r="J91" s="31">
        <v>3.0329822877520218</v>
      </c>
      <c r="K91" s="31">
        <v>2.654782540287226</v>
      </c>
      <c r="L91" s="31">
        <v>2.332640669212473</v>
      </c>
      <c r="M91" s="31">
        <v>2.0601967281361571</v>
      </c>
      <c r="N91" s="31">
        <v>1.8314754699780531</v>
      </c>
      <c r="O91" s="31">
        <v>1.640886346969247</v>
      </c>
      <c r="P91" s="31">
        <v>1.4832235106521969</v>
      </c>
      <c r="Q91" s="31">
        <v>1.353665811880683</v>
      </c>
      <c r="R91" s="31">
        <v>1.247776800819844</v>
      </c>
      <c r="S91" s="31">
        <v>1.1615047269461809</v>
      </c>
      <c r="T91" s="31">
        <v>1.091182539047495</v>
      </c>
      <c r="U91" s="31">
        <v>1.0335278852229699</v>
      </c>
      <c r="V91" s="31">
        <v>0.98564311288308748</v>
      </c>
      <c r="W91" s="31">
        <v>0.94501526874976349</v>
      </c>
      <c r="X91" s="31">
        <v>0.90951609885617313</v>
      </c>
      <c r="Y91" s="31">
        <v>0.87740204854685211</v>
      </c>
      <c r="Z91" s="31">
        <v>0.84731426247772745</v>
      </c>
      <c r="AA91" s="31">
        <v>0.81827858461600667</v>
      </c>
      <c r="AB91" s="31">
        <v>0.78970555824025723</v>
      </c>
      <c r="AC91" s="31">
        <v>0.76139042594046213</v>
      </c>
      <c r="AD91" s="31">
        <v>0.73351312961787951</v>
      </c>
      <c r="AE91" s="31">
        <v>0.70663831048513992</v>
      </c>
      <c r="AF91" s="31">
        <v>0.68171530906611388</v>
      </c>
      <c r="AG91" s="31">
        <v>0.66007816519619689</v>
      </c>
      <c r="AH91" s="32">
        <v>0.64344561802204236</v>
      </c>
    </row>
    <row r="92" spans="1:34" x14ac:dyDescent="0.25">
      <c r="A92" s="30">
        <v>-64</v>
      </c>
      <c r="B92" s="31">
        <v>9.0503383999883642</v>
      </c>
      <c r="C92" s="31">
        <v>7.939270541565473</v>
      </c>
      <c r="D92" s="31">
        <v>6.9497189993881809</v>
      </c>
      <c r="E92" s="31">
        <v>6.0722172972358397</v>
      </c>
      <c r="F92" s="31">
        <v>5.2976836581991433</v>
      </c>
      <c r="G92" s="31">
        <v>4.6174210046801294</v>
      </c>
      <c r="H92" s="31">
        <v>4.0231169583921824</v>
      </c>
      <c r="I92" s="31">
        <v>3.5068438403600251</v>
      </c>
      <c r="J92" s="31">
        <v>3.0610586709197372</v>
      </c>
      <c r="K92" s="31">
        <v>2.6786031697187278</v>
      </c>
      <c r="L92" s="31">
        <v>2.35270375571577</v>
      </c>
      <c r="M92" s="31">
        <v>2.0769715471809489</v>
      </c>
      <c r="N92" s="31">
        <v>1.8454023616957409</v>
      </c>
      <c r="O92" s="31">
        <v>1.6523767161529279</v>
      </c>
      <c r="P92" s="31">
        <v>1.4926598267566631</v>
      </c>
      <c r="Q92" s="31">
        <v>1.361401609022401</v>
      </c>
      <c r="R92" s="31">
        <v>1.254136677777008</v>
      </c>
      <c r="S92" s="31">
        <v>1.166784347158639</v>
      </c>
      <c r="T92" s="31">
        <v>1.0956486306168269</v>
      </c>
      <c r="U92" s="31">
        <v>1.0374182409124231</v>
      </c>
      <c r="V92" s="31">
        <v>0.98916659011763519</v>
      </c>
      <c r="W92" s="31">
        <v>0.94835178961602973</v>
      </c>
      <c r="X92" s="31">
        <v>0.91281665010249913</v>
      </c>
      <c r="Y92" s="31">
        <v>0.88078868158329149</v>
      </c>
      <c r="Z92" s="31">
        <v>0.85088009337599113</v>
      </c>
      <c r="AA92" s="31">
        <v>0.82208779410952437</v>
      </c>
      <c r="AB92" s="31">
        <v>0.79379339172417196</v>
      </c>
      <c r="AC92" s="31">
        <v>0.76576319347154964</v>
      </c>
      <c r="AD92" s="31">
        <v>0.73814820591463692</v>
      </c>
      <c r="AE92" s="31">
        <v>0.7114841349277724</v>
      </c>
      <c r="AF92" s="31">
        <v>0.68669138569655508</v>
      </c>
      <c r="AG92" s="31">
        <v>0.66507506271800276</v>
      </c>
      <c r="AH92" s="32">
        <v>0.6483249698004766</v>
      </c>
    </row>
    <row r="93" spans="1:34" x14ac:dyDescent="0.25">
      <c r="A93" s="30">
        <v>-58</v>
      </c>
      <c r="B93" s="31">
        <v>9.1345392835840968</v>
      </c>
      <c r="C93" s="31">
        <v>8.0141380847755883</v>
      </c>
      <c r="D93" s="31">
        <v>7.0159848504711029</v>
      </c>
      <c r="E93" s="31">
        <v>6.1305841691116898</v>
      </c>
      <c r="F93" s="31">
        <v>5.3488253284497356</v>
      </c>
      <c r="G93" s="31">
        <v>4.661982315548979</v>
      </c>
      <c r="H93" s="31">
        <v>4.0617138167844908</v>
      </c>
      <c r="I93" s="31">
        <v>3.5400632178426941</v>
      </c>
      <c r="J93" s="31">
        <v>3.0894586037213561</v>
      </c>
      <c r="K93" s="31">
        <v>2.7027127587295801</v>
      </c>
      <c r="L93" s="31">
        <v>2.3730231664878381</v>
      </c>
      <c r="M93" s="31">
        <v>2.093972009927914</v>
      </c>
      <c r="N93" s="31">
        <v>1.85952617129297</v>
      </c>
      <c r="O93" s="31">
        <v>1.664037232137473</v>
      </c>
      <c r="P93" s="31">
        <v>1.50224147332729</v>
      </c>
      <c r="Q93" s="31">
        <v>1.3692598750395619</v>
      </c>
      <c r="R93" s="31">
        <v>1.2605981167628519</v>
      </c>
      <c r="S93" s="31">
        <v>1.1721465772969999</v>
      </c>
      <c r="T93" s="31">
        <v>1.1001803347532391</v>
      </c>
      <c r="U93" s="31">
        <v>1.0413591665541111</v>
      </c>
      <c r="V93" s="31">
        <v>0.99272754943353392</v>
      </c>
      <c r="W93" s="31">
        <v>0.95171465943674804</v>
      </c>
      <c r="X93" s="31">
        <v>0.91613437192034519</v>
      </c>
      <c r="Y93" s="31">
        <v>0.8841852615522755</v>
      </c>
      <c r="Z93" s="31">
        <v>0.85445060231180037</v>
      </c>
      <c r="AA93" s="31">
        <v>0.82589836748957546</v>
      </c>
      <c r="AB93" s="31">
        <v>0.79788122968752617</v>
      </c>
      <c r="AC93" s="31">
        <v>0.77013656081901172</v>
      </c>
      <c r="AD93" s="31">
        <v>0.74278643210865869</v>
      </c>
      <c r="AE93" s="31">
        <v>0.7163376140925527</v>
      </c>
      <c r="AF93" s="31">
        <v>0.6916815766179244</v>
      </c>
      <c r="AG93" s="31">
        <v>0.67009448884354594</v>
      </c>
      <c r="AH93" s="32">
        <v>0.65323721923946476</v>
      </c>
    </row>
    <row r="94" spans="1:34" x14ac:dyDescent="0.25">
      <c r="A94" s="30">
        <v>-51</v>
      </c>
      <c r="B94" s="31">
        <v>9.2336224030089333</v>
      </c>
      <c r="C94" s="31">
        <v>8.1022687805015021</v>
      </c>
      <c r="D94" s="31">
        <v>7.0940191827121204</v>
      </c>
      <c r="E94" s="31">
        <v>6.1993444401871249</v>
      </c>
      <c r="F94" s="31">
        <v>5.4091000827842333</v>
      </c>
      <c r="G94" s="31">
        <v>4.7145263396724779</v>
      </c>
      <c r="H94" s="31">
        <v>4.1072481393322509</v>
      </c>
      <c r="I94" s="31">
        <v>3.5792751095552768</v>
      </c>
      <c r="J94" s="31">
        <v>3.1230015774446431</v>
      </c>
      <c r="K94" s="31">
        <v>2.7312065694147529</v>
      </c>
      <c r="L94" s="31">
        <v>2.3970538111913871</v>
      </c>
      <c r="M94" s="31">
        <v>2.1140917278116529</v>
      </c>
      <c r="N94" s="31">
        <v>1.876253443624009</v>
      </c>
      <c r="O94" s="31">
        <v>1.6778567822882371</v>
      </c>
      <c r="P94" s="31">
        <v>1.5136042667755161</v>
      </c>
      <c r="Q94" s="31">
        <v>1.3785831193682889</v>
      </c>
      <c r="R94" s="31">
        <v>1.268265261660438</v>
      </c>
      <c r="S94" s="31">
        <v>1.178507314557113</v>
      </c>
      <c r="T94" s="31">
        <v>1.105550598274843</v>
      </c>
      <c r="U94" s="31">
        <v>1.0460211323414941</v>
      </c>
      <c r="V94" s="31">
        <v>0.99692963559629011</v>
      </c>
      <c r="W94" s="31">
        <v>0.95567152618978901</v>
      </c>
      <c r="X94" s="31">
        <v>0.92002692158387789</v>
      </c>
      <c r="Y94" s="31">
        <v>0.88816063855180638</v>
      </c>
      <c r="Z94" s="31">
        <v>0.85862219317818489</v>
      </c>
      <c r="AA94" s="31">
        <v>0.83034580085893239</v>
      </c>
      <c r="AB94" s="31">
        <v>0.80265037630132585</v>
      </c>
      <c r="AC94" s="31">
        <v>0.77523953352401531</v>
      </c>
      <c r="AD94" s="31">
        <v>0.74820158585696439</v>
      </c>
      <c r="AE94" s="31">
        <v>0.72200954594148203</v>
      </c>
      <c r="AF94" s="31">
        <v>0.6975211257302264</v>
      </c>
      <c r="AG94" s="31">
        <v>0.67597873648719542</v>
      </c>
      <c r="AH94" s="32">
        <v>0.65900948878775267</v>
      </c>
    </row>
    <row r="95" spans="1:34" x14ac:dyDescent="0.25">
      <c r="A95" s="30">
        <v>-45</v>
      </c>
      <c r="B95" s="31">
        <v>9.3192792737497872</v>
      </c>
      <c r="C95" s="31">
        <v>8.1784833704612989</v>
      </c>
      <c r="D95" s="31">
        <v>7.1615273754278874</v>
      </c>
      <c r="E95" s="31">
        <v>6.2588531838575863</v>
      </c>
      <c r="F95" s="31">
        <v>5.461287390269808</v>
      </c>
      <c r="G95" s="31">
        <v>4.7600412884952714</v>
      </c>
      <c r="H95" s="31">
        <v>4.1467108716760741</v>
      </c>
      <c r="I95" s="31">
        <v>3.6132768322656301</v>
      </c>
      <c r="J95" s="31">
        <v>3.1521045620287111</v>
      </c>
      <c r="K95" s="31">
        <v>2.7559441520414318</v>
      </c>
      <c r="L95" s="31">
        <v>2.4179303926912641</v>
      </c>
      <c r="M95" s="31">
        <v>2.131582773676997</v>
      </c>
      <c r="N95" s="31">
        <v>1.89080548400879</v>
      </c>
      <c r="O95" s="31">
        <v>1.689887412008124</v>
      </c>
      <c r="P95" s="31">
        <v>1.523502145307859</v>
      </c>
      <c r="Q95" s="31">
        <v>1.386707970852151</v>
      </c>
      <c r="R95" s="31">
        <v>1.274947874896565</v>
      </c>
      <c r="S95" s="31">
        <v>1.1840495430079321</v>
      </c>
      <c r="T95" s="31">
        <v>1.11022536006451</v>
      </c>
      <c r="U95" s="31">
        <v>1.0500724102558401</v>
      </c>
      <c r="V95" s="31">
        <v>1.0005724770828179</v>
      </c>
      <c r="W95" s="31">
        <v>0.95909204335771381</v>
      </c>
      <c r="X95" s="31">
        <v>0.92338229120414539</v>
      </c>
      <c r="Y95" s="31">
        <v>0.89157910205700841</v>
      </c>
      <c r="Z95" s="31">
        <v>0.86220305666261154</v>
      </c>
      <c r="AA95" s="31">
        <v>0.83415943507858603</v>
      </c>
      <c r="AB95" s="31">
        <v>0.80673821667388879</v>
      </c>
      <c r="AC95" s="31">
        <v>0.77961408012887279</v>
      </c>
      <c r="AD95" s="31">
        <v>0.75284640343516784</v>
      </c>
      <c r="AE95" s="31">
        <v>0.726879263895853</v>
      </c>
      <c r="AF95" s="31">
        <v>0.70254143812518066</v>
      </c>
      <c r="AG95" s="31">
        <v>0.68104640204894917</v>
      </c>
      <c r="AH95" s="32">
        <v>0.66399233090412935</v>
      </c>
    </row>
    <row r="96" spans="1:34" x14ac:dyDescent="0.25">
      <c r="A96" s="30">
        <v>-39</v>
      </c>
      <c r="B96" s="31">
        <v>9.4056094941491786</v>
      </c>
      <c r="C96" s="31">
        <v>8.2553209777209133</v>
      </c>
      <c r="D96" s="31">
        <v>7.229610207828725</v>
      </c>
      <c r="E96" s="31">
        <v>6.3188901443423404</v>
      </c>
      <c r="F96" s="31">
        <v>5.5139584464428637</v>
      </c>
      <c r="G96" s="31">
        <v>4.8059974726227157</v>
      </c>
      <c r="H96" s="31">
        <v>4.1865742806856794</v>
      </c>
      <c r="I96" s="31">
        <v>3.6476406277468651</v>
      </c>
      <c r="J96" s="31">
        <v>3.1815329702327459</v>
      </c>
      <c r="K96" s="31">
        <v>2.780972463881116</v>
      </c>
      <c r="L96" s="31">
        <v>2.4390649637411528</v>
      </c>
      <c r="M96" s="31">
        <v>2.1493010241733361</v>
      </c>
      <c r="N96" s="31">
        <v>1.9055558988495229</v>
      </c>
      <c r="O96" s="31">
        <v>1.702089540752884</v>
      </c>
      <c r="P96" s="31">
        <v>1.533546602177974</v>
      </c>
      <c r="Q96" s="31">
        <v>1.394956434730646</v>
      </c>
      <c r="R96" s="31">
        <v>1.281733089328146</v>
      </c>
      <c r="S96" s="31">
        <v>1.1896753161990301</v>
      </c>
      <c r="T96" s="31">
        <v>1.114966564883215</v>
      </c>
      <c r="U96" s="31">
        <v>1.054174984231955</v>
      </c>
      <c r="V96" s="31">
        <v>1.0042534224078301</v>
      </c>
      <c r="W96" s="31">
        <v>0.9625394268848384</v>
      </c>
      <c r="X96" s="31">
        <v>0.92675524444821666</v>
      </c>
      <c r="Y96" s="31">
        <v>0.89500782119463906</v>
      </c>
      <c r="Z96" s="31">
        <v>0.86578880253206947</v>
      </c>
      <c r="AA96" s="31">
        <v>0.8379745331798284</v>
      </c>
      <c r="AB96" s="31">
        <v>0.8108260571685727</v>
      </c>
      <c r="AC96" s="31">
        <v>0.78398911784035619</v>
      </c>
      <c r="AD96" s="31">
        <v>0.7574941578484875</v>
      </c>
      <c r="AE96" s="31">
        <v>0.73175631915776784</v>
      </c>
      <c r="AF96" s="31">
        <v>0.70757544304412801</v>
      </c>
      <c r="AG96" s="31">
        <v>0.6861360700950031</v>
      </c>
      <c r="AH96" s="32">
        <v>0.66900744020917824</v>
      </c>
    </row>
    <row r="97" spans="1:34" x14ac:dyDescent="0.25">
      <c r="A97" s="30">
        <v>-33</v>
      </c>
      <c r="B97" s="31">
        <v>9.4926139218719037</v>
      </c>
      <c r="C97" s="31">
        <v>8.3327824269917539</v>
      </c>
      <c r="D97" s="31">
        <v>7.2982684716726407</v>
      </c>
      <c r="E97" s="31">
        <v>6.3794560804460083</v>
      </c>
      <c r="F97" s="31">
        <v>5.5671139771546363</v>
      </c>
      <c r="G97" s="31">
        <v>4.8523955849526477</v>
      </c>
      <c r="H97" s="31">
        <v>4.226839026305508</v>
      </c>
      <c r="I97" s="31">
        <v>3.6823671229900401</v>
      </c>
      <c r="J97" s="31">
        <v>3.211287396094392</v>
      </c>
      <c r="K97" s="31">
        <v>2.806292066018071</v>
      </c>
      <c r="L97" s="31">
        <v>2.4604580524719322</v>
      </c>
      <c r="M97" s="31">
        <v>2.1672469744781568</v>
      </c>
      <c r="N97" s="31">
        <v>1.920505150370293</v>
      </c>
      <c r="O97" s="31">
        <v>1.7144635977932099</v>
      </c>
      <c r="P97" s="31">
        <v>1.5437380337031561</v>
      </c>
      <c r="Q97" s="31">
        <v>1.40332887436767</v>
      </c>
      <c r="R97" s="31">
        <v>1.288621235365712</v>
      </c>
      <c r="S97" s="31">
        <v>1.1953849315875109</v>
      </c>
      <c r="T97" s="31">
        <v>1.119774477234684</v>
      </c>
      <c r="U97" s="31">
        <v>1.058329085820185</v>
      </c>
      <c r="V97" s="31">
        <v>1.007972670168293</v>
      </c>
      <c r="W97" s="31">
        <v>0.96601384241466814</v>
      </c>
      <c r="X97" s="31">
        <v>0.93014591400629587</v>
      </c>
      <c r="Y97" s="31">
        <v>0.89844689570149339</v>
      </c>
      <c r="Z97" s="31">
        <v>0.86937949756993771</v>
      </c>
      <c r="AA97" s="31">
        <v>0.84179112899267494</v>
      </c>
      <c r="AB97" s="31">
        <v>0.8149138986619846</v>
      </c>
      <c r="AC97" s="31">
        <v>0.7883646145816634</v>
      </c>
      <c r="AD97" s="31">
        <v>0.76214478406675579</v>
      </c>
      <c r="AE97" s="31">
        <v>0.73664061374365319</v>
      </c>
      <c r="AF97" s="31">
        <v>0.71262300955003621</v>
      </c>
      <c r="AG97" s="31">
        <v>0.69124757673505877</v>
      </c>
      <c r="AH97" s="32">
        <v>0.67405461985913462</v>
      </c>
    </row>
    <row r="98" spans="1:34" x14ac:dyDescent="0.25">
      <c r="A98" s="30">
        <v>-26</v>
      </c>
      <c r="B98" s="31">
        <v>9.5949723564106328</v>
      </c>
      <c r="C98" s="31">
        <v>8.4239436865483093</v>
      </c>
      <c r="D98" s="31">
        <v>7.3790981186886748</v>
      </c>
      <c r="E98" s="31">
        <v>6.4507859194684718</v>
      </c>
      <c r="F98" s="31">
        <v>5.6297420548357939</v>
      </c>
      <c r="G98" s="31">
        <v>4.9070861900500828</v>
      </c>
      <c r="H98" s="31">
        <v>4.2743226896821067</v>
      </c>
      <c r="I98" s="31">
        <v>3.7233406176139909</v>
      </c>
      <c r="J98" s="31">
        <v>3.246413737039215</v>
      </c>
      <c r="K98" s="31">
        <v>2.8362005104625769</v>
      </c>
      <c r="L98" s="31">
        <v>2.4857440997002431</v>
      </c>
      <c r="M98" s="31">
        <v>2.1884723658797141</v>
      </c>
      <c r="N98" s="31">
        <v>1.9381978694398461</v>
      </c>
      <c r="O98" s="31">
        <v>1.7291178701308121</v>
      </c>
      <c r="P98" s="31">
        <v>1.5558143270141731</v>
      </c>
      <c r="Q98" s="31">
        <v>1.4132538984627809</v>
      </c>
      <c r="R98" s="31">
        <v>1.2967879421608941</v>
      </c>
      <c r="S98" s="31">
        <v>1.202152515104068</v>
      </c>
      <c r="T98" s="31">
        <v>1.125468373599217</v>
      </c>
      <c r="U98" s="31">
        <v>1.063240973264614</v>
      </c>
      <c r="V98" s="31">
        <v>1.012360469029836</v>
      </c>
      <c r="W98" s="31">
        <v>0.9701017151358633</v>
      </c>
      <c r="X98" s="31">
        <v>0.9341242651349867</v>
      </c>
      <c r="Y98" s="31">
        <v>0.90247237189083229</v>
      </c>
      <c r="Z98" s="31">
        <v>0.87357498757839369</v>
      </c>
      <c r="AA98" s="31">
        <v>0.84624576368401694</v>
      </c>
      <c r="AB98" s="31">
        <v>0.81968305100529881</v>
      </c>
      <c r="AC98" s="31">
        <v>0.79346989965135606</v>
      </c>
      <c r="AD98" s="31">
        <v>0.76757405904250553</v>
      </c>
      <c r="AE98" s="31">
        <v>0.7423479779104768</v>
      </c>
      <c r="AF98" s="31">
        <v>0.71852880429829469</v>
      </c>
      <c r="AG98" s="31">
        <v>0.6972383855603399</v>
      </c>
      <c r="AH98" s="32">
        <v>0.67998326836242728</v>
      </c>
    </row>
    <row r="99" spans="1:34" x14ac:dyDescent="0.25">
      <c r="A99" s="30">
        <v>-20</v>
      </c>
      <c r="B99" s="31">
        <v>9.6834405140857793</v>
      </c>
      <c r="C99" s="31">
        <v>8.5027596278802235</v>
      </c>
      <c r="D99" s="31">
        <v>7.4490058719809227</v>
      </c>
      <c r="E99" s="31">
        <v>6.5125005776863247</v>
      </c>
      <c r="F99" s="31">
        <v>5.6839497756062114</v>
      </c>
      <c r="G99" s="31">
        <v>4.9544441956617096</v>
      </c>
      <c r="H99" s="31">
        <v>4.3154592670852976</v>
      </c>
      <c r="I99" s="31">
        <v>3.7588551184207861</v>
      </c>
      <c r="J99" s="31">
        <v>3.2768765775233422</v>
      </c>
      <c r="K99" s="31">
        <v>2.862153171559473</v>
      </c>
      <c r="L99" s="31">
        <v>2.5076991270070321</v>
      </c>
      <c r="M99" s="31">
        <v>2.206913369655207</v>
      </c>
      <c r="N99" s="31">
        <v>1.953579524604562</v>
      </c>
      <c r="O99" s="31">
        <v>1.741865916266955</v>
      </c>
      <c r="P99" s="31">
        <v>1.566325568365637</v>
      </c>
      <c r="Q99" s="31">
        <v>1.421896203935171</v>
      </c>
      <c r="R99" s="31">
        <v>1.3039002453214861</v>
      </c>
      <c r="S99" s="31">
        <v>1.2080448141818581</v>
      </c>
      <c r="T99" s="31">
        <v>1.1304217314848739</v>
      </c>
      <c r="U99" s="31">
        <v>1.0675075175105031</v>
      </c>
      <c r="V99" s="31">
        <v>1.016163391850041</v>
      </c>
      <c r="W99" s="31">
        <v>0.97363527340613487</v>
      </c>
      <c r="X99" s="31">
        <v>0.93755378039275428</v>
      </c>
      <c r="Y99" s="31">
        <v>0.90593423033528342</v>
      </c>
      <c r="Z99" s="31">
        <v>0.87717664007035612</v>
      </c>
      <c r="AA99" s="31">
        <v>0.85006572574599892</v>
      </c>
      <c r="AB99" s="31">
        <v>0.82377090282155407</v>
      </c>
      <c r="AC99" s="31">
        <v>0.79784628606781627</v>
      </c>
      <c r="AD99" s="31">
        <v>0.77223068956678609</v>
      </c>
      <c r="AE99" s="31">
        <v>0.74724762671188938</v>
      </c>
      <c r="AF99" s="31">
        <v>0.72360531020782293</v>
      </c>
      <c r="AG99" s="31">
        <v>0.70239665207071733</v>
      </c>
      <c r="AH99" s="32">
        <v>0.68509926362801821</v>
      </c>
    </row>
    <row r="100" spans="1:34" x14ac:dyDescent="0.25">
      <c r="A100" s="30">
        <v>-14</v>
      </c>
      <c r="B100" s="31">
        <v>9.7725856021560293</v>
      </c>
      <c r="C100" s="31">
        <v>8.5822020299427173</v>
      </c>
      <c r="D100" s="31">
        <v>7.5194915710832104</v>
      </c>
      <c r="E100" s="31">
        <v>6.5747466215376296</v>
      </c>
      <c r="F100" s="31">
        <v>5.7386442765774666</v>
      </c>
      <c r="G100" s="31">
        <v>5.0022463307855416</v>
      </c>
      <c r="H100" s="31">
        <v>4.3569992780560174</v>
      </c>
      <c r="I100" s="31">
        <v>3.7947343115944081</v>
      </c>
      <c r="J100" s="31">
        <v>3.307667323917574</v>
      </c>
      <c r="K100" s="31">
        <v>2.888398906853705</v>
      </c>
      <c r="L100" s="31">
        <v>2.5299143515423701</v>
      </c>
      <c r="M100" s="31">
        <v>2.2255836484344331</v>
      </c>
      <c r="N100" s="31">
        <v>1.969161487292149</v>
      </c>
      <c r="O100" s="31">
        <v>1.754787257189089</v>
      </c>
      <c r="P100" s="31">
        <v>1.5769850465101869</v>
      </c>
      <c r="Q100" s="31">
        <v>1.430663642951695</v>
      </c>
      <c r="R100" s="31">
        <v>1.3111165335212509</v>
      </c>
      <c r="S100" s="31">
        <v>1.2140219045378069</v>
      </c>
      <c r="T100" s="31">
        <v>1.135442641631661</v>
      </c>
      <c r="U100" s="31">
        <v>1.0718263297444699</v>
      </c>
      <c r="V100" s="31">
        <v>1.020005253129209</v>
      </c>
      <c r="W100" s="31">
        <v>0.97719639535024605</v>
      </c>
      <c r="X100" s="31">
        <v>0.94100143928324964</v>
      </c>
      <c r="Y100" s="31">
        <v>0.90940676711524282</v>
      </c>
      <c r="Z100" s="31">
        <v>0.88078346034460953</v>
      </c>
      <c r="AA100" s="31">
        <v>0.85388729978105316</v>
      </c>
      <c r="AB100" s="31">
        <v>0.82785876554563476</v>
      </c>
      <c r="AC100" s="31">
        <v>0.80222303707076026</v>
      </c>
      <c r="AD100" s="31">
        <v>0.77688999310021578</v>
      </c>
      <c r="AE100" s="31">
        <v>0.75215421168909558</v>
      </c>
      <c r="AF100" s="31">
        <v>0.72869497020376883</v>
      </c>
      <c r="AG100" s="31">
        <v>0.70757624532207342</v>
      </c>
      <c r="AH100" s="32">
        <v>0.69024671303316842</v>
      </c>
    </row>
    <row r="101" spans="1:34" x14ac:dyDescent="0.25">
      <c r="A101" s="30">
        <v>-8</v>
      </c>
      <c r="B101" s="31">
        <v>9.8624084827913538</v>
      </c>
      <c r="C101" s="31">
        <v>8.6622717219523846</v>
      </c>
      <c r="D101" s="31">
        <v>7.5905560122587197</v>
      </c>
      <c r="E101" s="31">
        <v>6.6375248143321874</v>
      </c>
      <c r="F101" s="31">
        <v>5.793826288105973</v>
      </c>
      <c r="G101" s="31">
        <v>5.0504932928245854</v>
      </c>
      <c r="H101" s="31">
        <v>4.3989433870438921</v>
      </c>
      <c r="I101" s="31">
        <v>3.8309788286310869</v>
      </c>
      <c r="J101" s="31">
        <v>3.338786574764733</v>
      </c>
      <c r="K101" s="31">
        <v>2.914938281934722</v>
      </c>
      <c r="L101" s="31">
        <v>2.5523903059422972</v>
      </c>
      <c r="M101" s="31">
        <v>2.2444837019000299</v>
      </c>
      <c r="N101" s="31">
        <v>1.984944224231874</v>
      </c>
      <c r="O101" s="31">
        <v>1.767882326673089</v>
      </c>
      <c r="P101" s="31">
        <v>1.587793162270293</v>
      </c>
      <c r="Q101" s="31">
        <v>1.4395565833814461</v>
      </c>
      <c r="R101" s="31">
        <v>1.318437141675878</v>
      </c>
      <c r="S101" s="31">
        <v>1.2200840881342341</v>
      </c>
      <c r="T101" s="31">
        <v>1.1405313730484941</v>
      </c>
      <c r="U101" s="31">
        <v>1.0761976460220311</v>
      </c>
      <c r="V101" s="31">
        <v>1.0238862559694919</v>
      </c>
      <c r="W101" s="31">
        <v>0.98078525111697334</v>
      </c>
      <c r="X101" s="31">
        <v>0.9444673790017718</v>
      </c>
      <c r="Y101" s="31">
        <v>0.91289008647267522</v>
      </c>
      <c r="Z101" s="31">
        <v>0.88439551968973251</v>
      </c>
      <c r="AA101" s="31">
        <v>0.85771052412433901</v>
      </c>
      <c r="AB101" s="31">
        <v>0.83194664455923806</v>
      </c>
      <c r="AC101" s="31">
        <v>0.80660012508858592</v>
      </c>
      <c r="AD101" s="31">
        <v>0.78155190911778383</v>
      </c>
      <c r="AE101" s="31">
        <v>0.75706763936366184</v>
      </c>
      <c r="AF101" s="31">
        <v>0.7337976578542964</v>
      </c>
      <c r="AG101" s="31">
        <v>0.71277700592919757</v>
      </c>
      <c r="AH101" s="32">
        <v>0.69542542423921094</v>
      </c>
    </row>
    <row r="102" spans="1:34" x14ac:dyDescent="0.25">
      <c r="A102" s="30">
        <v>-1</v>
      </c>
      <c r="B102" s="31">
        <v>9.9680596497524014</v>
      </c>
      <c r="C102" s="31">
        <v>8.756480295189224</v>
      </c>
      <c r="D102" s="31">
        <v>7.6741970564406383</v>
      </c>
      <c r="E102" s="31">
        <v>6.711439636233778</v>
      </c>
      <c r="F102" s="31">
        <v>5.8588224366071264</v>
      </c>
      <c r="G102" s="31">
        <v>5.1073445589105138</v>
      </c>
      <c r="H102" s="31">
        <v>4.448389803805112</v>
      </c>
      <c r="I102" s="31">
        <v>3.8737266712634342</v>
      </c>
      <c r="J102" s="31">
        <v>3.375508360569341</v>
      </c>
      <c r="K102" s="31">
        <v>2.9462727703180378</v>
      </c>
      <c r="L102" s="31">
        <v>2.5789424984160831</v>
      </c>
      <c r="M102" s="31">
        <v>2.266824842081347</v>
      </c>
      <c r="N102" s="31">
        <v>2.0036117978431078</v>
      </c>
      <c r="O102" s="31">
        <v>1.783380061541918</v>
      </c>
      <c r="P102" s="31">
        <v>1.6005910283297331</v>
      </c>
      <c r="Q102" s="31">
        <v>1.450090792669787</v>
      </c>
      <c r="R102" s="31">
        <v>1.32711014833674</v>
      </c>
      <c r="S102" s="31">
        <v>1.227264588416541</v>
      </c>
      <c r="T102" s="31">
        <v>1.1465543053064919</v>
      </c>
      <c r="U102" s="31">
        <v>1.081364190715258</v>
      </c>
      <c r="V102" s="31">
        <v>1.028463835662816</v>
      </c>
      <c r="W102" s="31">
        <v>0.98500753048053002</v>
      </c>
      <c r="X102" s="31">
        <v>0.94853426481108916</v>
      </c>
      <c r="Y102" s="31">
        <v>0.91696772760850465</v>
      </c>
      <c r="Z102" s="31">
        <v>0.88861630713818973</v>
      </c>
      <c r="AA102" s="31">
        <v>0.8621730909768176</v>
      </c>
      <c r="AB102" s="31">
        <v>0.83671586601246895</v>
      </c>
      <c r="AC102" s="31">
        <v>0.81170711844456644</v>
      </c>
      <c r="AD102" s="31">
        <v>0.78699403378384469</v>
      </c>
      <c r="AE102" s="31">
        <v>0.76280849685247909</v>
      </c>
      <c r="AF102" s="31">
        <v>0.73976709178380418</v>
      </c>
      <c r="AG102" s="31">
        <v>0.71887110202267501</v>
      </c>
      <c r="AH102" s="32">
        <v>0.70150651032522415</v>
      </c>
    </row>
    <row r="103" spans="1:34" x14ac:dyDescent="0.25">
      <c r="A103" s="30">
        <v>5</v>
      </c>
      <c r="B103" s="31">
        <v>10.05935404381921</v>
      </c>
      <c r="C103" s="31">
        <v>8.837911965243114</v>
      </c>
      <c r="D103" s="31">
        <v>7.7465181755517154</v>
      </c>
      <c r="E103" s="31">
        <v>6.7753734421338532</v>
      </c>
      <c r="F103" s="31">
        <v>5.9150632316896967</v>
      </c>
      <c r="G103" s="31">
        <v>5.1565577102307723</v>
      </c>
      <c r="H103" s="31">
        <v>4.4912117430799494</v>
      </c>
      <c r="I103" s="31">
        <v>3.9107648948714271</v>
      </c>
      <c r="J103" s="31">
        <v>3.4073414295507698</v>
      </c>
      <c r="K103" s="31">
        <v>2.9734503103748762</v>
      </c>
      <c r="L103" s="31">
        <v>2.6019851999119901</v>
      </c>
      <c r="M103" s="31">
        <v>2.286224460041693</v>
      </c>
      <c r="N103" s="31">
        <v>2.0198311519549321</v>
      </c>
      <c r="O103" s="31">
        <v>1.7968530361539741</v>
      </c>
      <c r="P103" s="31">
        <v>1.6117225724524511</v>
      </c>
      <c r="Q103" s="31">
        <v>1.459256919975322</v>
      </c>
      <c r="R103" s="31">
        <v>1.3346579371589069</v>
      </c>
      <c r="S103" s="31">
        <v>1.2335121817508741</v>
      </c>
      <c r="T103" s="31">
        <v>1.151790910810208</v>
      </c>
      <c r="U103" s="31">
        <v>1.085850080707258</v>
      </c>
      <c r="V103" s="31">
        <v>1.0324303471237219</v>
      </c>
      <c r="W103" s="31">
        <v>0.98865706505263884</v>
      </c>
      <c r="X103" s="31">
        <v>0.95204028879838076</v>
      </c>
      <c r="Y103" s="31">
        <v>0.92047477197668204</v>
      </c>
      <c r="Z103" s="31">
        <v>0.89223996751461954</v>
      </c>
      <c r="AA103" s="31">
        <v>0.86600002765058193</v>
      </c>
      <c r="AB103" s="31">
        <v>0.84080380393435616</v>
      </c>
      <c r="AC103" s="31">
        <v>0.81608484722701724</v>
      </c>
      <c r="AD103" s="31">
        <v>0.79166140770104887</v>
      </c>
      <c r="AE103" s="31">
        <v>0.76773643484027343</v>
      </c>
      <c r="AF103" s="31">
        <v>0.74489757743975105</v>
      </c>
      <c r="AG103" s="31">
        <v>0.72411718360600463</v>
      </c>
      <c r="AH103" s="32">
        <v>0.70675230075689655</v>
      </c>
    </row>
    <row r="104" spans="1:34" x14ac:dyDescent="0.25">
      <c r="A104" s="30">
        <v>11</v>
      </c>
      <c r="B104" s="31">
        <v>10.15132896778929</v>
      </c>
      <c r="C104" s="31">
        <v>8.9199735582299446</v>
      </c>
      <c r="D104" s="31">
        <v>7.8194205653693807</v>
      </c>
      <c r="E104" s="31">
        <v>6.8398418212581236</v>
      </c>
      <c r="F104" s="31">
        <v>5.9717938572580476</v>
      </c>
      <c r="G104" s="31">
        <v>5.2062179040423704</v>
      </c>
      <c r="H104" s="31">
        <v>4.5344398915956443</v>
      </c>
      <c r="I104" s="31">
        <v>3.948170449213777</v>
      </c>
      <c r="J104" s="31">
        <v>3.4395049055040232</v>
      </c>
      <c r="K104" s="31">
        <v>3.000923288384969</v>
      </c>
      <c r="L104" s="31">
        <v>2.6252903250865569</v>
      </c>
      <c r="M104" s="31">
        <v>2.305855442150067</v>
      </c>
      <c r="N104" s="31">
        <v>2.0362527654281322</v>
      </c>
      <c r="O104" s="31">
        <v>1.810501120084727</v>
      </c>
      <c r="P104" s="31">
        <v>1.6230040305951581</v>
      </c>
      <c r="Q104" s="31">
        <v>1.46854972074609</v>
      </c>
      <c r="R104" s="31">
        <v>1.342311113635545</v>
      </c>
      <c r="S104" s="31">
        <v>1.2398458316728631</v>
      </c>
      <c r="T104" s="31">
        <v>1.157096196578739</v>
      </c>
      <c r="U104" s="31">
        <v>1.090389229385222</v>
      </c>
      <c r="V104" s="31">
        <v>1.036436650435677</v>
      </c>
      <c r="W104" s="31">
        <v>0.99233487938486664</v>
      </c>
      <c r="X104" s="31">
        <v>0.95556503519883929</v>
      </c>
      <c r="Y104" s="31">
        <v>0.92399293615504718</v>
      </c>
      <c r="Z104" s="31">
        <v>0.89586909984222995</v>
      </c>
      <c r="AA104" s="31">
        <v>0.86982874316048608</v>
      </c>
      <c r="AB104" s="31">
        <v>0.84489178232129125</v>
      </c>
      <c r="AC104" s="31">
        <v>0.8204628328474578</v>
      </c>
      <c r="AD104" s="31">
        <v>0.79633120957308989</v>
      </c>
      <c r="AE104" s="31">
        <v>0.77267092664372683</v>
      </c>
      <c r="AF104" s="31">
        <v>0.75004069751614122</v>
      </c>
      <c r="AG104" s="31">
        <v>0.72938393495856269</v>
      </c>
      <c r="AH104" s="32">
        <v>0.71202875105048957</v>
      </c>
    </row>
    <row r="105" spans="1:34" x14ac:dyDescent="0.25">
      <c r="A105" s="30">
        <v>18</v>
      </c>
      <c r="B105" s="31">
        <v>10.25949431623337</v>
      </c>
      <c r="C105" s="31">
        <v>9.0165093483094623</v>
      </c>
      <c r="D105" s="31">
        <v>7.9052090834466124</v>
      </c>
      <c r="E105" s="31">
        <v>6.9157315958006524</v>
      </c>
      <c r="F105" s="31">
        <v>6.0385996588387796</v>
      </c>
      <c r="G105" s="31">
        <v>5.2647207453395124</v>
      </c>
      <c r="H105" s="31">
        <v>4.5853870273927164</v>
      </c>
      <c r="I105" s="31">
        <v>3.9922753763996059</v>
      </c>
      <c r="J105" s="31">
        <v>3.4774473630727498</v>
      </c>
      <c r="K105" s="31">
        <v>3.0333492574360341</v>
      </c>
      <c r="L105" s="31">
        <v>2.652812028824731</v>
      </c>
      <c r="M105" s="31">
        <v>2.329051345885405</v>
      </c>
      <c r="N105" s="31">
        <v>2.0556675765760222</v>
      </c>
      <c r="O105" s="31">
        <v>1.8266457881658471</v>
      </c>
      <c r="P105" s="31">
        <v>1.6363557472355159</v>
      </c>
      <c r="Q105" s="31">
        <v>1.479551919676986</v>
      </c>
      <c r="R105" s="31">
        <v>1.351373470693602</v>
      </c>
      <c r="S105" s="31">
        <v>1.247344264800003</v>
      </c>
      <c r="T105" s="31">
        <v>1.1633728658222049</v>
      </c>
      <c r="U105" s="31">
        <v>1.09575253689755</v>
      </c>
      <c r="V105" s="31">
        <v>1.041161240474731</v>
      </c>
      <c r="W105" s="31">
        <v>0.99666163831382282</v>
      </c>
      <c r="X105" s="31">
        <v>0.9597010914861599</v>
      </c>
      <c r="Y105" s="31">
        <v>0.92811166037452275</v>
      </c>
      <c r="Z105" s="31">
        <v>0.90011010467294772</v>
      </c>
      <c r="AA105" s="31">
        <v>0.87429788338686965</v>
      </c>
      <c r="AB105" s="31">
        <v>0.8496611548330435</v>
      </c>
      <c r="AC105" s="31">
        <v>0.82557077663958023</v>
      </c>
      <c r="AD105" s="31">
        <v>0.80178230574595588</v>
      </c>
      <c r="AE105" s="31">
        <v>0.77843599840299071</v>
      </c>
      <c r="AF105" s="31">
        <v>0.75605681017273718</v>
      </c>
      <c r="AG105" s="31">
        <v>0.7355543959287234</v>
      </c>
      <c r="AH105" s="32">
        <v>0.71822310985582061</v>
      </c>
    </row>
    <row r="106" spans="1:34" x14ac:dyDescent="0.25">
      <c r="A106" s="30">
        <v>24</v>
      </c>
      <c r="B106" s="31">
        <v>10.35294669628029</v>
      </c>
      <c r="C106" s="31">
        <v>9.0999386358889822</v>
      </c>
      <c r="D106" s="31">
        <v>7.9793736416514207</v>
      </c>
      <c r="E106" s="31">
        <v>6.9813608523851274</v>
      </c>
      <c r="F106" s="31">
        <v>6.0963941062189884</v>
      </c>
      <c r="G106" s="31">
        <v>5.3153519405932226</v>
      </c>
      <c r="H106" s="31">
        <v>4.6294975922593888</v>
      </c>
      <c r="I106" s="31">
        <v>4.0304789972803956</v>
      </c>
      <c r="J106" s="31">
        <v>3.5103287910304961</v>
      </c>
      <c r="K106" s="31">
        <v>3.0614643081952879</v>
      </c>
      <c r="L106" s="31">
        <v>2.6766875827717231</v>
      </c>
      <c r="M106" s="31">
        <v>2.3491853480680729</v>
      </c>
      <c r="N106" s="31">
        <v>2.0725290367039868</v>
      </c>
      <c r="O106" s="31">
        <v>1.840674780610424</v>
      </c>
      <c r="P106" s="31">
        <v>1.647963411029727</v>
      </c>
      <c r="Q106" s="31">
        <v>1.489120458515534</v>
      </c>
      <c r="R106" s="31">
        <v>1.359256152932879</v>
      </c>
      <c r="S106" s="31">
        <v>1.2538654234581139</v>
      </c>
      <c r="T106" s="31">
        <v>1.168827898578934</v>
      </c>
      <c r="U106" s="31">
        <v>1.100407906094393</v>
      </c>
      <c r="V106" s="31">
        <v>1.045254473114861</v>
      </c>
      <c r="W106" s="31">
        <v>1.0004013260620821</v>
      </c>
      <c r="X106" s="31">
        <v>0.96326689066916393</v>
      </c>
      <c r="Y106" s="31">
        <v>0.93165429198049488</v>
      </c>
      <c r="Z106" s="31">
        <v>0.90375135435184728</v>
      </c>
      <c r="AA106" s="31">
        <v>0.8781306014503546</v>
      </c>
      <c r="AB106" s="31">
        <v>0.85374925625444575</v>
      </c>
      <c r="AC106" s="31">
        <v>0.82994924105396717</v>
      </c>
      <c r="AD106" s="31">
        <v>0.80645717745002443</v>
      </c>
      <c r="AE106" s="31">
        <v>0.78338438635514518</v>
      </c>
      <c r="AF106" s="31">
        <v>0.76122688799313942</v>
      </c>
      <c r="AG106" s="31">
        <v>0.74086540189919947</v>
      </c>
      <c r="AH106" s="32">
        <v>0.72356534691987662</v>
      </c>
    </row>
    <row r="107" spans="1:34" x14ac:dyDescent="0.25">
      <c r="A107" s="30">
        <v>30</v>
      </c>
      <c r="B107" s="31">
        <v>10.447082354411091</v>
      </c>
      <c r="C107" s="31">
        <v>9.1840004902296535</v>
      </c>
      <c r="D107" s="31">
        <v>8.0541220100386095</v>
      </c>
      <c r="E107" s="31">
        <v>7.0475271173171921</v>
      </c>
      <c r="F107" s="31">
        <v>6.1546807148559681</v>
      </c>
      <c r="G107" s="31">
        <v>5.3664324047568428</v>
      </c>
      <c r="H107" s="31">
        <v>4.6740164884330841</v>
      </c>
      <c r="I107" s="31">
        <v>4.0690519666092921</v>
      </c>
      <c r="J107" s="31">
        <v>3.5435425393214119</v>
      </c>
      <c r="K107" s="31">
        <v>3.08987660591673</v>
      </c>
      <c r="L107" s="31">
        <v>2.7008272650539</v>
      </c>
      <c r="M107" s="31">
        <v>2.369552314702883</v>
      </c>
      <c r="N107" s="31">
        <v>2.0895942521450301</v>
      </c>
      <c r="O107" s="31">
        <v>1.8548802739729811</v>
      </c>
      <c r="P107" s="31">
        <v>1.6597222760907859</v>
      </c>
      <c r="Q107" s="31">
        <v>1.4988168537137641</v>
      </c>
      <c r="R107" s="31">
        <v>1.367245301368661</v>
      </c>
      <c r="S107" s="31">
        <v>1.260473612893513</v>
      </c>
      <c r="T107" s="31">
        <v>1.174352481437716</v>
      </c>
      <c r="U107" s="31">
        <v>1.105117299461984</v>
      </c>
      <c r="V107" s="31">
        <v>1.0493881587384311</v>
      </c>
      <c r="W107" s="31">
        <v>1.004169850350479</v>
      </c>
      <c r="X107" s="31">
        <v>0.96685186469290907</v>
      </c>
      <c r="Y107" s="31">
        <v>0.93520839147183021</v>
      </c>
      <c r="Z107" s="31">
        <v>0.90739831970468987</v>
      </c>
      <c r="AA107" s="31">
        <v>0.88196523772033331</v>
      </c>
      <c r="AB107" s="31">
        <v>0.8578374331588704</v>
      </c>
      <c r="AC107" s="31">
        <v>0.83432789297181731</v>
      </c>
      <c r="AD107" s="31">
        <v>0.81113430342202231</v>
      </c>
      <c r="AE107" s="31">
        <v>0.78833905008371397</v>
      </c>
      <c r="AF107" s="31">
        <v>0.7664092178423233</v>
      </c>
      <c r="AG107" s="31">
        <v>0.74619659089479029</v>
      </c>
      <c r="AH107" s="32">
        <v>0.72893765274933009</v>
      </c>
    </row>
    <row r="108" spans="1:34" x14ac:dyDescent="0.25">
      <c r="A108" s="30">
        <v>36</v>
      </c>
      <c r="B108" s="31">
        <v>10.541902160724881</v>
      </c>
      <c r="C108" s="31">
        <v>9.2686957484771906</v>
      </c>
      <c r="D108" s="31">
        <v>8.1294549928005075</v>
      </c>
      <c r="E108" s="31">
        <v>7.1142311618357672</v>
      </c>
      <c r="F108" s="31">
        <v>6.2134602230352334</v>
      </c>
      <c r="G108" s="31">
        <v>5.4179628431625027</v>
      </c>
      <c r="H108" s="31">
        <v>4.7189443882925408</v>
      </c>
      <c r="I108" s="31">
        <v>4.1079949238116384</v>
      </c>
      <c r="J108" s="31">
        <v>3.5770892144174389</v>
      </c>
      <c r="K108" s="31">
        <v>3.1185867241189191</v>
      </c>
      <c r="L108" s="31">
        <v>2.725231616236421</v>
      </c>
      <c r="M108" s="31">
        <v>2.390152753401614</v>
      </c>
      <c r="N108" s="31">
        <v>2.106863697557523</v>
      </c>
      <c r="O108" s="31">
        <v>1.869262709958504</v>
      </c>
      <c r="P108" s="31">
        <v>1.6716327511702911</v>
      </c>
      <c r="Q108" s="31">
        <v>1.508641481069902</v>
      </c>
      <c r="R108" s="31">
        <v>1.375341258845769</v>
      </c>
      <c r="S108" s="31">
        <v>1.2671691429976231</v>
      </c>
      <c r="T108" s="31">
        <v>1.1799468913365549</v>
      </c>
      <c r="U108" s="31">
        <v>1.109880960984992</v>
      </c>
      <c r="V108" s="31">
        <v>1.0535625083767071</v>
      </c>
      <c r="W108" s="31">
        <v>1.007967389256853</v>
      </c>
      <c r="X108" s="31">
        <v>0.97045615868186097</v>
      </c>
      <c r="Y108" s="31">
        <v>0.93877407101957633</v>
      </c>
      <c r="Z108" s="31">
        <v>0.91105107994912848</v>
      </c>
      <c r="AA108" s="31">
        <v>0.88580183846105254</v>
      </c>
      <c r="AB108" s="31">
        <v>0.86192569885712444</v>
      </c>
      <c r="AC108" s="31">
        <v>0.83870671275063191</v>
      </c>
      <c r="AD108" s="31">
        <v>0.81581363106602456</v>
      </c>
      <c r="AE108" s="31">
        <v>0.7932999040392803</v>
      </c>
      <c r="AF108" s="31">
        <v>0.77160368121753486</v>
      </c>
      <c r="AG108" s="31">
        <v>0.75154781145938188</v>
      </c>
      <c r="AH108" s="32">
        <v>0.73433984293476573</v>
      </c>
    </row>
    <row r="109" spans="1:34" x14ac:dyDescent="0.25">
      <c r="A109" s="30">
        <v>43</v>
      </c>
      <c r="B109" s="31">
        <v>10.653391117683929</v>
      </c>
      <c r="C109" s="31">
        <v>9.3683085536021942</v>
      </c>
      <c r="D109" s="31">
        <v>8.218083434681402</v>
      </c>
      <c r="E109" s="31">
        <v>7.1927332711677616</v>
      </c>
      <c r="F109" s="31">
        <v>6.2826602726188616</v>
      </c>
      <c r="G109" s="31">
        <v>5.478651347903611</v>
      </c>
      <c r="H109" s="31">
        <v>4.7718781052022763</v>
      </c>
      <c r="I109" s="31">
        <v>4.1538968520064561</v>
      </c>
      <c r="J109" s="31">
        <v>3.616648595119111</v>
      </c>
      <c r="K109" s="31">
        <v>3.1524590406545179</v>
      </c>
      <c r="L109" s="31">
        <v>2.7540385940383518</v>
      </c>
      <c r="M109" s="31">
        <v>2.4144823600075642</v>
      </c>
      <c r="N109" s="31">
        <v>2.1272701426105098</v>
      </c>
      <c r="O109" s="31">
        <v>1.8862664452068489</v>
      </c>
      <c r="P109" s="31">
        <v>1.6857204704676121</v>
      </c>
      <c r="Q109" s="31">
        <v>1.5202661203751411</v>
      </c>
      <c r="R109" s="31">
        <v>1.3849219962231829</v>
      </c>
      <c r="S109" s="31">
        <v>1.2750913986167669</v>
      </c>
      <c r="T109" s="31">
        <v>1.186562327472289</v>
      </c>
      <c r="U109" s="31">
        <v>1.1155074820175011</v>
      </c>
      <c r="V109" s="31">
        <v>1.0584842607914831</v>
      </c>
      <c r="W109" s="31">
        <v>1.012434761644684</v>
      </c>
      <c r="X109" s="31">
        <v>0.97468578173885989</v>
      </c>
      <c r="Y109" s="31">
        <v>0.94294881754716031</v>
      </c>
      <c r="Z109" s="31">
        <v>0.91532006485401507</v>
      </c>
      <c r="AA109" s="31">
        <v>0.89028041875529262</v>
      </c>
      <c r="AB109" s="31">
        <v>0.86669547365806243</v>
      </c>
      <c r="AC109" s="31">
        <v>0.84381552328091325</v>
      </c>
      <c r="AD109" s="31">
        <v>0.82127556065365004</v>
      </c>
      <c r="AE109" s="31">
        <v>0.79909527811751302</v>
      </c>
      <c r="AF109" s="31">
        <v>0.77767906732492553</v>
      </c>
      <c r="AG109" s="31">
        <v>0.75781601923986153</v>
      </c>
      <c r="AH109" s="32">
        <v>0.74067992413754524</v>
      </c>
    </row>
    <row r="110" spans="1:34" x14ac:dyDescent="0.25">
      <c r="A110" s="30">
        <v>49</v>
      </c>
      <c r="B110" s="31">
        <v>10.749696235135939</v>
      </c>
      <c r="C110" s="31">
        <v>9.4543790640078953</v>
      </c>
      <c r="D110" s="31">
        <v>8.2946858459000055</v>
      </c>
      <c r="E110" s="31">
        <v>7.2606051557201896</v>
      </c>
      <c r="F110" s="31">
        <v>6.3425102676877252</v>
      </c>
      <c r="G110" s="31">
        <v>5.5311591553332198</v>
      </c>
      <c r="H110" s="31">
        <v>4.8176944914986306</v>
      </c>
      <c r="I110" s="31">
        <v>4.193643648337253</v>
      </c>
      <c r="J110" s="31">
        <v>3.6509186973137369</v>
      </c>
      <c r="K110" s="31">
        <v>3.1818164092040648</v>
      </c>
      <c r="L110" s="31">
        <v>2.7790182540955879</v>
      </c>
      <c r="M110" s="31">
        <v>2.4355904013869658</v>
      </c>
      <c r="N110" s="31">
        <v>2.1449837197882431</v>
      </c>
      <c r="O110" s="31">
        <v>1.9010337773207699</v>
      </c>
      <c r="P110" s="31">
        <v>1.6979608413172731</v>
      </c>
      <c r="Q110" s="31">
        <v>1.5303698784218001</v>
      </c>
      <c r="R110" s="31">
        <v>1.393250554589764</v>
      </c>
      <c r="S110" s="31">
        <v>1.2819772350879231</v>
      </c>
      <c r="T110" s="31">
        <v>1.1923089844943431</v>
      </c>
      <c r="U110" s="31">
        <v>1.120389566698486</v>
      </c>
      <c r="V110" s="31">
        <v>1.062747444901109</v>
      </c>
      <c r="W110" s="31">
        <v>1.0162957816143749</v>
      </c>
      <c r="X110" s="31">
        <v>0.97833243866173081</v>
      </c>
      <c r="Y110" s="31">
        <v>0.94653997717798577</v>
      </c>
      <c r="Z110" s="31">
        <v>0.91898565760931528</v>
      </c>
      <c r="AA110" s="31">
        <v>0.89412143971324887</v>
      </c>
      <c r="AB110" s="31">
        <v>0.87078398255854239</v>
      </c>
      <c r="AC110" s="31">
        <v>0.84819464452551308</v>
      </c>
      <c r="AD110" s="31">
        <v>0.82595948330564517</v>
      </c>
      <c r="AE110" s="31">
        <v>0.80406925590183653</v>
      </c>
      <c r="AF110" s="31">
        <v>0.78289941862828238</v>
      </c>
      <c r="AG110" s="31">
        <v>0.76321012711058223</v>
      </c>
      <c r="AH110" s="32">
        <v>0.74614623628567478</v>
      </c>
    </row>
    <row r="111" spans="1:34" x14ac:dyDescent="0.25">
      <c r="A111" s="30">
        <v>55</v>
      </c>
      <c r="B111" s="31">
        <v>10.846688263217979</v>
      </c>
      <c r="C111" s="31">
        <v>9.541085636415076</v>
      </c>
      <c r="D111" s="31">
        <v>8.3718754252355225</v>
      </c>
      <c r="E111" s="31">
        <v>7.3290172692489381</v>
      </c>
      <c r="F111" s="31">
        <v>6.4028555073362847</v>
      </c>
      <c r="G111" s="31">
        <v>5.5841191776898604</v>
      </c>
      <c r="H111" s="31">
        <v>4.8639220178133256</v>
      </c>
      <c r="I111" s="31">
        <v>4.2337624645216687</v>
      </c>
      <c r="J111" s="31">
        <v>3.6855236539412348</v>
      </c>
      <c r="K111" s="31">
        <v>3.2114734215097012</v>
      </c>
      <c r="L111" s="31">
        <v>2.8042643019760982</v>
      </c>
      <c r="M111" s="31">
        <v>2.4569335294008021</v>
      </c>
      <c r="N111" s="31">
        <v>2.162903037155536</v>
      </c>
      <c r="O111" s="31">
        <v>1.9159794579233449</v>
      </c>
      <c r="P111" s="31">
        <v>1.710354123698663</v>
      </c>
      <c r="Q111" s="31">
        <v>1.5406030657872269</v>
      </c>
      <c r="R111" s="31">
        <v>1.401687014806138</v>
      </c>
      <c r="S111" s="31">
        <v>1.2889514006838401</v>
      </c>
      <c r="T111" s="31">
        <v>1.1981263526601089</v>
      </c>
      <c r="U111" s="31">
        <v>1.1253266992860991</v>
      </c>
      <c r="V111" s="31">
        <v>1.067051968424259</v>
      </c>
      <c r="W111" s="31">
        <v>1.0201863872484329</v>
      </c>
      <c r="X111" s="31">
        <v>0.98199888224377008</v>
      </c>
      <c r="Y111" s="31">
        <v>0.95014307920681063</v>
      </c>
      <c r="Z111" s="31">
        <v>0.92265730324537321</v>
      </c>
      <c r="AA111" s="31">
        <v>0.89796457877869784</v>
      </c>
      <c r="AB111" s="31">
        <v>0.87487262953725786</v>
      </c>
      <c r="AC111" s="31">
        <v>0.85257387856301037</v>
      </c>
      <c r="AD111" s="31">
        <v>0.83064544820916431</v>
      </c>
      <c r="AE111" s="31">
        <v>0.80904916014032591</v>
      </c>
      <c r="AF111" s="31">
        <v>0.78813153533237579</v>
      </c>
      <c r="AG111" s="31">
        <v>0.76862379407261006</v>
      </c>
      <c r="AH111" s="32">
        <v>0.75164185595965438</v>
      </c>
    </row>
    <row r="112" spans="1:34" x14ac:dyDescent="0.25">
      <c r="A112" s="30">
        <v>61</v>
      </c>
      <c r="B112" s="31">
        <v>10.944368076534319</v>
      </c>
      <c r="C112" s="31">
        <v>9.6284291124746328</v>
      </c>
      <c r="D112" s="31">
        <v>8.4496529813854515</v>
      </c>
      <c r="E112" s="31">
        <v>7.3979703874981064</v>
      </c>
      <c r="F112" s="31">
        <v>6.4636967343552323</v>
      </c>
      <c r="G112" s="31">
        <v>5.6375321248108428</v>
      </c>
      <c r="H112" s="31">
        <v>4.9105613610302834</v>
      </c>
      <c r="I112" s="31">
        <v>4.2742539444902334</v>
      </c>
      <c r="J112" s="31">
        <v>3.720464075978732</v>
      </c>
      <c r="K112" s="31">
        <v>3.2414306555951549</v>
      </c>
      <c r="L112" s="31">
        <v>2.829777282750233</v>
      </c>
      <c r="M112" s="31">
        <v>2.4785122561660229</v>
      </c>
      <c r="N112" s="31">
        <v>2.1810285738759512</v>
      </c>
      <c r="O112" s="31">
        <v>1.9311039332247639</v>
      </c>
      <c r="P112" s="31">
        <v>1.72290073086857</v>
      </c>
      <c r="Q112" s="31">
        <v>1.5509660627748001</v>
      </c>
      <c r="R112" s="31">
        <v>1.4102317242222731</v>
      </c>
      <c r="S112" s="31">
        <v>1.296014209801114</v>
      </c>
      <c r="T112" s="31">
        <v>1.204014713412789</v>
      </c>
      <c r="U112" s="31">
        <v>1.130319128270147</v>
      </c>
      <c r="V112" s="31">
        <v>1.0713980468973361</v>
      </c>
      <c r="W112" s="31">
        <v>1.0241067611299</v>
      </c>
      <c r="X112" s="31">
        <v>0.9856852621146589</v>
      </c>
      <c r="Y112" s="31">
        <v>0.95375824030987622</v>
      </c>
      <c r="Z112" s="31">
        <v>0.92633508548504673</v>
      </c>
      <c r="AA112" s="31">
        <v>0.90180988672110052</v>
      </c>
      <c r="AB112" s="31">
        <v>0.87896143241023961</v>
      </c>
      <c r="AC112" s="31">
        <v>0.85695321025605176</v>
      </c>
      <c r="AD112" s="31">
        <v>0.83533340727350958</v>
      </c>
      <c r="AE112" s="31">
        <v>0.81403490978888038</v>
      </c>
      <c r="AF112" s="31">
        <v>0.79337530343971718</v>
      </c>
      <c r="AG112" s="31">
        <v>0.77405687317504146</v>
      </c>
      <c r="AH112" s="32">
        <v>0.75716660325517904</v>
      </c>
    </row>
    <row r="113" spans="1:34" x14ac:dyDescent="0.25">
      <c r="A113" s="30">
        <v>68</v>
      </c>
      <c r="B113" s="31">
        <v>11.05919831116881</v>
      </c>
      <c r="C113" s="31">
        <v>9.7311359343468595</v>
      </c>
      <c r="D113" s="31">
        <v>8.5411376813129678</v>
      </c>
      <c r="E113" s="31">
        <v>7.479100498403751</v>
      </c>
      <c r="F113" s="31">
        <v>6.5353060312671749</v>
      </c>
      <c r="G113" s="31">
        <v>5.7004206248625584</v>
      </c>
      <c r="H113" s="31">
        <v>4.9654953234605452</v>
      </c>
      <c r="I113" s="31">
        <v>4.3219658706431368</v>
      </c>
      <c r="J113" s="31">
        <v>3.76165270930368</v>
      </c>
      <c r="K113" s="31">
        <v>3.2767609816468588</v>
      </c>
      <c r="L113" s="31">
        <v>2.859880529188715</v>
      </c>
      <c r="M113" s="31">
        <v>2.503985892756615</v>
      </c>
      <c r="N113" s="31">
        <v>2.2024363124892892</v>
      </c>
      <c r="O113" s="31">
        <v>1.948975727836799</v>
      </c>
      <c r="P113" s="31">
        <v>1.737732777560566</v>
      </c>
      <c r="Q113" s="31">
        <v>1.5632207997333309</v>
      </c>
      <c r="R113" s="31">
        <v>1.420337831739209</v>
      </c>
      <c r="S113" s="31">
        <v>1.304366610273642</v>
      </c>
      <c r="T113" s="31">
        <v>1.2109745713434381</v>
      </c>
      <c r="U113" s="31">
        <v>1.1362138502666961</v>
      </c>
      <c r="V113" s="31">
        <v>1.0765212816729099</v>
      </c>
      <c r="W113" s="31">
        <v>1.028718399502935</v>
      </c>
      <c r="X113" s="31">
        <v>0.99001143700890271</v>
      </c>
      <c r="Y113" s="31">
        <v>0.95799132675435839</v>
      </c>
      <c r="Z113" s="31">
        <v>0.93063370061415196</v>
      </c>
      <c r="AA113" s="31">
        <v>0.90629888977445805</v>
      </c>
      <c r="AB113" s="31">
        <v>0.88373192473285656</v>
      </c>
      <c r="AC113" s="31">
        <v>0.86206253529821841</v>
      </c>
      <c r="AD113" s="31">
        <v>0.84080515059081762</v>
      </c>
      <c r="AE113" s="31">
        <v>0.8198588990422242</v>
      </c>
      <c r="AF113" s="31">
        <v>0.79950760839533808</v>
      </c>
      <c r="AG113" s="31">
        <v>0.78041980570445435</v>
      </c>
      <c r="AH113" s="32">
        <v>0.763648717335208</v>
      </c>
    </row>
    <row r="114" spans="1:34" x14ac:dyDescent="0.25">
      <c r="A114" s="30">
        <v>74</v>
      </c>
      <c r="B114" s="31">
        <v>11.158371331356509</v>
      </c>
      <c r="C114" s="31">
        <v>9.8198622608018056</v>
      </c>
      <c r="D114" s="31">
        <v>8.6201919666609204</v>
      </c>
      <c r="E114" s="31">
        <v>7.5492284599321717</v>
      </c>
      <c r="F114" s="31">
        <v>6.5972244509252187</v>
      </c>
      <c r="G114" s="31">
        <v>5.7548173492610726</v>
      </c>
      <c r="H114" s="31">
        <v>5.0130292638720748</v>
      </c>
      <c r="I114" s="31">
        <v>4.3632670030019218</v>
      </c>
      <c r="J114" s="31">
        <v>3.7973220742056482</v>
      </c>
      <c r="K114" s="31">
        <v>3.3073706843496282</v>
      </c>
      <c r="L114" s="31">
        <v>2.8859737396116101</v>
      </c>
      <c r="M114" s="31">
        <v>2.5260768454806422</v>
      </c>
      <c r="N114" s="31">
        <v>2.2210103067571678</v>
      </c>
      <c r="O114" s="31">
        <v>1.964489127552917</v>
      </c>
      <c r="P114" s="31">
        <v>1.7506130112910281</v>
      </c>
      <c r="Q114" s="31">
        <v>1.5738663607059269</v>
      </c>
      <c r="R114" s="31">
        <v>1.4291182778434179</v>
      </c>
      <c r="S114" s="31">
        <v>1.3116225640606529</v>
      </c>
      <c r="T114" s="31">
        <v>1.217017720026101</v>
      </c>
      <c r="U114" s="31">
        <v>1.141326945719594</v>
      </c>
      <c r="V114" s="31">
        <v>1.0809581404323141</v>
      </c>
      <c r="W114" s="31">
        <v>1.032703902766771</v>
      </c>
      <c r="X114" s="31">
        <v>0.99374153063683757</v>
      </c>
      <c r="Y114" s="31">
        <v>0.96163302126772432</v>
      </c>
      <c r="Z114" s="31">
        <v>0.93432507119598551</v>
      </c>
      <c r="AA114" s="31">
        <v>0.91014907626950881</v>
      </c>
      <c r="AB114" s="31">
        <v>0.8878211316475273</v>
      </c>
      <c r="AC114" s="31">
        <v>0.8664420318006556</v>
      </c>
      <c r="AD114" s="31">
        <v>0.84549727051080847</v>
      </c>
      <c r="AE114" s="31">
        <v>0.82485704087129386</v>
      </c>
      <c r="AF114" s="31">
        <v>0.8047762352866602</v>
      </c>
      <c r="AG114" s="31">
        <v>0.78589444547297671</v>
      </c>
      <c r="AH114" s="32">
        <v>0.76923596245748638</v>
      </c>
    </row>
    <row r="115" spans="1:34" x14ac:dyDescent="0.25">
      <c r="A115" s="33">
        <v>80</v>
      </c>
      <c r="B115" s="34">
        <v>11.25823491349197</v>
      </c>
      <c r="C115" s="34">
        <v>9.9092281632701606</v>
      </c>
      <c r="D115" s="34">
        <v>8.699836796831919</v>
      </c>
      <c r="E115" s="34">
        <v>7.6198998898372334</v>
      </c>
      <c r="F115" s="34">
        <v>6.6596412172574713</v>
      </c>
      <c r="G115" s="34">
        <v>5.8096692533753318</v>
      </c>
      <c r="H115" s="34">
        <v>5.0609771717848542</v>
      </c>
      <c r="I115" s="34">
        <v>4.404942845391421</v>
      </c>
      <c r="J115" s="34">
        <v>3.8333288464117721</v>
      </c>
      <c r="K115" s="34">
        <v>3.3382824463739782</v>
      </c>
      <c r="L115" s="34">
        <v>2.91233561611747</v>
      </c>
      <c r="M115" s="34">
        <v>2.5484050257929991</v>
      </c>
      <c r="N115" s="34">
        <v>2.2397920448626869</v>
      </c>
      <c r="O115" s="34">
        <v>1.980182742099982</v>
      </c>
      <c r="P115" s="34">
        <v>1.7636478855896991</v>
      </c>
      <c r="Q115" s="34">
        <v>1.5846429427279589</v>
      </c>
      <c r="R115" s="34">
        <v>1.4380080802222741</v>
      </c>
      <c r="S115" s="34">
        <v>1.318968164091475</v>
      </c>
      <c r="T115" s="34">
        <v>1.22313275966573</v>
      </c>
      <c r="U115" s="34">
        <v>1.146496131586568</v>
      </c>
      <c r="V115" s="34">
        <v>1.0854372438068649</v>
      </c>
      <c r="W115" s="34">
        <v>1.0367197595908271</v>
      </c>
      <c r="X115" s="34">
        <v>0.99749204151400594</v>
      </c>
      <c r="Y115" s="34">
        <v>0.96528715146333255</v>
      </c>
      <c r="Z115" s="34">
        <v>0.93802285063704705</v>
      </c>
      <c r="AA115" s="34">
        <v>0.91400159954471161</v>
      </c>
      <c r="AB115" s="34">
        <v>0.89191055800725039</v>
      </c>
      <c r="AC115" s="34">
        <v>0.87082158515701025</v>
      </c>
      <c r="AD115" s="34">
        <v>0.85019123943756392</v>
      </c>
      <c r="AE115" s="34">
        <v>0.82986077860395124</v>
      </c>
      <c r="AF115" s="34">
        <v>0.81005615972238587</v>
      </c>
      <c r="AG115" s="34">
        <v>0.79138803917059874</v>
      </c>
      <c r="AH115" s="35">
        <v>0.77485177263759653</v>
      </c>
    </row>
    <row r="118" spans="1:34" ht="28.9" customHeight="1" x14ac:dyDescent="0.5">
      <c r="A118" s="1" t="s">
        <v>30</v>
      </c>
    </row>
    <row r="119" spans="1:34" ht="32.1" customHeight="1" x14ac:dyDescent="0.25"/>
    <row r="120" spans="1:34" x14ac:dyDescent="0.25">
      <c r="A120" s="2"/>
      <c r="B120" s="3"/>
      <c r="C120" s="3"/>
      <c r="D120" s="4"/>
    </row>
    <row r="121" spans="1:34" x14ac:dyDescent="0.25">
      <c r="A121" s="5" t="s">
        <v>31</v>
      </c>
      <c r="B121" s="6">
        <v>3.5</v>
      </c>
      <c r="C121" s="6" t="s">
        <v>11</v>
      </c>
      <c r="D121" s="7"/>
    </row>
    <row r="122" spans="1:34" x14ac:dyDescent="0.25">
      <c r="A122" s="8"/>
      <c r="B122" s="9"/>
      <c r="C122" s="9"/>
      <c r="D122" s="10"/>
    </row>
    <row r="125" spans="1:34" ht="48" customHeight="1" x14ac:dyDescent="0.25">
      <c r="A125" s="21" t="s">
        <v>32</v>
      </c>
      <c r="B125" s="23" t="s">
        <v>33</v>
      </c>
    </row>
    <row r="126" spans="1:34" x14ac:dyDescent="0.25">
      <c r="A126" s="5">
        <v>0</v>
      </c>
      <c r="B126" s="32">
        <v>0.22</v>
      </c>
    </row>
    <row r="127" spans="1:34" x14ac:dyDescent="0.25">
      <c r="A127" s="5">
        <v>0.125</v>
      </c>
      <c r="B127" s="32">
        <v>0.23302500000000001</v>
      </c>
    </row>
    <row r="128" spans="1:34" x14ac:dyDescent="0.25">
      <c r="A128" s="5">
        <v>0.25</v>
      </c>
      <c r="B128" s="32">
        <v>0.16002777777777791</v>
      </c>
    </row>
    <row r="129" spans="1:2" x14ac:dyDescent="0.25">
      <c r="A129" s="5">
        <v>0.375</v>
      </c>
      <c r="B129" s="32">
        <v>6.0026785714285547E-2</v>
      </c>
    </row>
    <row r="130" spans="1:2" x14ac:dyDescent="0.25">
      <c r="A130" s="5">
        <v>0.5</v>
      </c>
      <c r="B130" s="32">
        <v>5.0100000000000033E-2</v>
      </c>
    </row>
    <row r="131" spans="1:2" x14ac:dyDescent="0.25">
      <c r="A131" s="5">
        <v>0.625</v>
      </c>
      <c r="B131" s="32">
        <v>2.4293333333333281E-2</v>
      </c>
    </row>
    <row r="132" spans="1:2" x14ac:dyDescent="0.25">
      <c r="A132" s="5">
        <v>0.75</v>
      </c>
      <c r="B132" s="32">
        <v>-1.154166666666656E-2</v>
      </c>
    </row>
    <row r="133" spans="1:2" x14ac:dyDescent="0.25">
      <c r="A133" s="5">
        <v>0.875</v>
      </c>
      <c r="B133" s="32">
        <v>-2.7189393939393899E-2</v>
      </c>
    </row>
    <row r="134" spans="1:2" x14ac:dyDescent="0.25">
      <c r="A134" s="5">
        <v>1</v>
      </c>
      <c r="B134" s="32">
        <v>-3.7659574468084989E-2</v>
      </c>
    </row>
    <row r="135" spans="1:2" x14ac:dyDescent="0.25">
      <c r="A135" s="5">
        <v>1.125</v>
      </c>
      <c r="B135" s="32">
        <v>-3.9202127659574537E-2</v>
      </c>
    </row>
    <row r="136" spans="1:2" x14ac:dyDescent="0.25">
      <c r="A136" s="5">
        <v>1.25</v>
      </c>
      <c r="B136" s="32">
        <v>-3.9021739130434829E-2</v>
      </c>
    </row>
    <row r="137" spans="1:2" x14ac:dyDescent="0.25">
      <c r="A137" s="5">
        <v>1.375</v>
      </c>
      <c r="B137" s="32">
        <v>-3.7880434782608829E-2</v>
      </c>
    </row>
    <row r="138" spans="1:2" x14ac:dyDescent="0.25">
      <c r="A138" s="5">
        <v>1.5</v>
      </c>
      <c r="B138" s="32">
        <v>-3.5227272727272878E-2</v>
      </c>
    </row>
    <row r="139" spans="1:2" x14ac:dyDescent="0.25">
      <c r="A139" s="5">
        <v>1.625</v>
      </c>
      <c r="B139" s="32">
        <v>-2.835227272727282E-2</v>
      </c>
    </row>
    <row r="140" spans="1:2" x14ac:dyDescent="0.25">
      <c r="A140" s="5">
        <v>1.75</v>
      </c>
      <c r="B140" s="32">
        <v>-2.1477272727272959E-2</v>
      </c>
    </row>
    <row r="141" spans="1:2" x14ac:dyDescent="0.25">
      <c r="A141" s="5">
        <v>1.875</v>
      </c>
      <c r="B141" s="32">
        <v>-1.4602272727272891E-2</v>
      </c>
    </row>
    <row r="142" spans="1:2" x14ac:dyDescent="0.25">
      <c r="A142" s="5">
        <v>2</v>
      </c>
      <c r="B142" s="32">
        <v>-9.5143487858722064E-3</v>
      </c>
    </row>
    <row r="143" spans="1:2" x14ac:dyDescent="0.25">
      <c r="A143" s="5">
        <v>2.125</v>
      </c>
      <c r="B143" s="32">
        <v>-6.4238410596029194E-3</v>
      </c>
    </row>
    <row r="144" spans="1:2" x14ac:dyDescent="0.25">
      <c r="A144" s="5">
        <v>2.25</v>
      </c>
      <c r="B144" s="32">
        <v>-3.3333333333336319E-3</v>
      </c>
    </row>
    <row r="145" spans="1:2" x14ac:dyDescent="0.25">
      <c r="A145" s="5">
        <v>2.375</v>
      </c>
      <c r="B145" s="32">
        <v>-2.4282560706434531E-4</v>
      </c>
    </row>
    <row r="146" spans="1:2" x14ac:dyDescent="0.25">
      <c r="A146" s="5">
        <v>2.5</v>
      </c>
      <c r="B146" s="32">
        <v>2.8476821192049422E-3</v>
      </c>
    </row>
    <row r="147" spans="1:2" x14ac:dyDescent="0.25">
      <c r="A147" s="5">
        <v>2.625</v>
      </c>
      <c r="B147" s="32">
        <v>5.9381898454742288E-3</v>
      </c>
    </row>
    <row r="148" spans="1:2" x14ac:dyDescent="0.25">
      <c r="A148" s="5">
        <v>2.75</v>
      </c>
      <c r="B148" s="32">
        <v>9.0286975717435158E-3</v>
      </c>
    </row>
    <row r="149" spans="1:2" x14ac:dyDescent="0.25">
      <c r="A149" s="5">
        <v>2.875</v>
      </c>
      <c r="B149" s="32">
        <v>1.211920529801302E-2</v>
      </c>
    </row>
    <row r="150" spans="1:2" x14ac:dyDescent="0.25">
      <c r="A150" s="5">
        <v>3</v>
      </c>
      <c r="B150" s="32">
        <v>1.195329087048802E-2</v>
      </c>
    </row>
    <row r="151" spans="1:2" x14ac:dyDescent="0.25">
      <c r="A151" s="5">
        <v>3.125</v>
      </c>
      <c r="B151" s="32">
        <v>1.0148619957537131E-2</v>
      </c>
    </row>
    <row r="152" spans="1:2" x14ac:dyDescent="0.25">
      <c r="A152" s="5">
        <v>3.25</v>
      </c>
      <c r="B152" s="32">
        <v>8.3439490445853526E-3</v>
      </c>
    </row>
    <row r="153" spans="1:2" x14ac:dyDescent="0.25">
      <c r="A153" s="5">
        <v>3.375</v>
      </c>
      <c r="B153" s="32">
        <v>6.5392781316344628E-3</v>
      </c>
    </row>
    <row r="154" spans="1:2" x14ac:dyDescent="0.25">
      <c r="A154" s="5">
        <v>3.5</v>
      </c>
      <c r="B154" s="32">
        <v>0</v>
      </c>
    </row>
    <row r="155" spans="1:2" x14ac:dyDescent="0.25">
      <c r="A155" s="5">
        <v>3.625</v>
      </c>
      <c r="B155" s="32">
        <v>0</v>
      </c>
    </row>
    <row r="156" spans="1:2" x14ac:dyDescent="0.25">
      <c r="A156" s="5">
        <v>3.75</v>
      </c>
      <c r="B156" s="32">
        <v>0</v>
      </c>
    </row>
    <row r="157" spans="1:2" x14ac:dyDescent="0.25">
      <c r="A157" s="5">
        <v>3.875</v>
      </c>
      <c r="B157" s="32">
        <v>0</v>
      </c>
    </row>
    <row r="158" spans="1:2" x14ac:dyDescent="0.25">
      <c r="A158" s="8">
        <v>4</v>
      </c>
      <c r="B158" s="35">
        <v>0</v>
      </c>
    </row>
  </sheetData>
  <sheetProtection algorithmName="SHA-512" hashValue="Nfw1PqIVDOVjJvTv6S3xyLJzOXFw4uxrr1S2YMkfJAjlaxd3O3OPN24C5i/EmJ/1B8cI+XP31djb6mBdzWYrew==" saltValue="s1OzFM5mG/COnrwcCL951w==" spinCount="100000" sheet="1" objects="1" scenarios="1"/>
  <protectedRanges>
    <protectedRange sqref="B36" name="Range1"/>
  </protectedRange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5:R158"/>
  <sheetViews>
    <sheetView workbookViewId="0">
      <selection activeCell="B36" sqref="B36"/>
    </sheetView>
  </sheetViews>
  <sheetFormatPr defaultRowHeight="15" x14ac:dyDescent="0.25"/>
  <cols>
    <col min="1" max="1" width="30.7109375" customWidth="1"/>
  </cols>
  <sheetData>
    <row r="15" spans="1:4" ht="28.9" customHeight="1" x14ac:dyDescent="0.5">
      <c r="A15" s="1" t="s">
        <v>38</v>
      </c>
      <c r="B15" s="1"/>
    </row>
    <row r="16" spans="1:4" x14ac:dyDescent="0.25">
      <c r="A16" s="2"/>
      <c r="B16" s="3"/>
      <c r="C16" s="3"/>
      <c r="D16" s="4"/>
    </row>
    <row r="17" spans="1:4" x14ac:dyDescent="0.25">
      <c r="A17" s="5" t="s">
        <v>1</v>
      </c>
      <c r="B17" s="6" t="s">
        <v>43</v>
      </c>
      <c r="C17" s="6"/>
      <c r="D17" s="7"/>
    </row>
    <row r="18" spans="1:4" x14ac:dyDescent="0.25">
      <c r="A18" s="5" t="s">
        <v>2</v>
      </c>
      <c r="B18" s="6" t="s">
        <v>3</v>
      </c>
      <c r="C18" s="6"/>
      <c r="D18" s="7"/>
    </row>
    <row r="19" spans="1:4" x14ac:dyDescent="0.25">
      <c r="A19" s="5" t="s">
        <v>4</v>
      </c>
      <c r="B19" s="6" t="s">
        <v>5</v>
      </c>
      <c r="C19" s="6"/>
      <c r="D19" s="7"/>
    </row>
    <row r="20" spans="1:4" x14ac:dyDescent="0.25">
      <c r="A20" s="8"/>
      <c r="B20" s="9"/>
      <c r="C20" s="9"/>
      <c r="D20" s="10"/>
    </row>
    <row r="22" spans="1:4" x14ac:dyDescent="0.25">
      <c r="A22" s="2"/>
      <c r="B22" s="11"/>
      <c r="C22" s="11"/>
      <c r="D22" s="12"/>
    </row>
    <row r="23" spans="1:4" x14ac:dyDescent="0.25">
      <c r="A23" s="5" t="s">
        <v>6</v>
      </c>
      <c r="B23" s="13">
        <v>300</v>
      </c>
      <c r="C23" s="13" t="s">
        <v>7</v>
      </c>
      <c r="D23" s="14"/>
    </row>
    <row r="24" spans="1:4" x14ac:dyDescent="0.25">
      <c r="A24" s="5" t="s">
        <v>8</v>
      </c>
      <c r="B24" s="13">
        <v>14</v>
      </c>
      <c r="C24" s="13" t="s">
        <v>9</v>
      </c>
      <c r="D24" s="14"/>
    </row>
    <row r="25" spans="1:4" x14ac:dyDescent="0.25">
      <c r="A25" s="8"/>
      <c r="B25" s="15"/>
      <c r="C25" s="15"/>
      <c r="D25" s="16"/>
    </row>
    <row r="29" spans="1:4" x14ac:dyDescent="0.25">
      <c r="A29" s="2"/>
      <c r="B29" s="3"/>
      <c r="C29" s="3"/>
      <c r="D29" s="4"/>
    </row>
    <row r="30" spans="1:4" x14ac:dyDescent="0.25">
      <c r="A30" s="5" t="s">
        <v>10</v>
      </c>
      <c r="B30" s="6">
        <v>0.31000000000000011</v>
      </c>
      <c r="C30" s="6" t="s">
        <v>11</v>
      </c>
      <c r="D30" s="7"/>
    </row>
    <row r="31" spans="1:4" x14ac:dyDescent="0.25">
      <c r="A31" s="8"/>
      <c r="B31" s="9"/>
      <c r="C31" s="9"/>
      <c r="D31" s="10"/>
    </row>
    <row r="34" spans="1:5" ht="28.9" customHeight="1" x14ac:dyDescent="0.5">
      <c r="A34" s="1" t="s">
        <v>12</v>
      </c>
    </row>
    <row r="36" spans="1:5" x14ac:dyDescent="0.25">
      <c r="A36" s="17" t="s">
        <v>13</v>
      </c>
      <c r="B36" s="17">
        <v>100</v>
      </c>
      <c r="C36" s="17" t="s">
        <v>14</v>
      </c>
      <c r="D36" s="17" t="s">
        <v>15</v>
      </c>
      <c r="E36" s="17"/>
    </row>
    <row r="37" spans="1:5" hidden="1" x14ac:dyDescent="0.25">
      <c r="A37" s="17" t="s">
        <v>16</v>
      </c>
      <c r="B37" s="17">
        <v>14.7</v>
      </c>
      <c r="C37" s="17"/>
      <c r="D37" s="17" t="s">
        <v>15</v>
      </c>
      <c r="E37" s="17"/>
    </row>
    <row r="38" spans="1:5" hidden="1" x14ac:dyDescent="0.25">
      <c r="A38" s="17" t="s">
        <v>17</v>
      </c>
      <c r="B38" s="17">
        <v>9.0079999999999991</v>
      </c>
      <c r="C38" s="17"/>
      <c r="D38" s="17" t="s">
        <v>15</v>
      </c>
      <c r="E38" s="17"/>
    </row>
    <row r="40" spans="1:5" ht="48" customHeight="1" x14ac:dyDescent="0.25">
      <c r="A40" s="18" t="s">
        <v>39</v>
      </c>
      <c r="B40" s="19" t="s">
        <v>19</v>
      </c>
      <c r="C40" s="19" t="s">
        <v>20</v>
      </c>
      <c r="D40" s="19" t="s">
        <v>21</v>
      </c>
      <c r="E40" s="20" t="s">
        <v>22</v>
      </c>
    </row>
    <row r="41" spans="1:5" x14ac:dyDescent="0.25">
      <c r="A41" s="5">
        <v>128</v>
      </c>
      <c r="B41" s="6">
        <v>43.44801941145662</v>
      </c>
      <c r="C41" s="6">
        <f>43.4480194114566 * $B$36 / 100</f>
        <v>43.448019411456599</v>
      </c>
      <c r="D41" s="6">
        <v>5.474353894689286</v>
      </c>
      <c r="E41" s="7">
        <f>5.47435389468928 * $B$36 / 100</f>
        <v>5.4743538946892798</v>
      </c>
    </row>
    <row r="42" spans="1:5" x14ac:dyDescent="0.25">
      <c r="A42" s="5">
        <v>144</v>
      </c>
      <c r="B42" s="6">
        <v>46.083583732448588</v>
      </c>
      <c r="C42" s="6">
        <f>46.0835837324485 * $B$36 / 100</f>
        <v>46.083583732448503</v>
      </c>
      <c r="D42" s="6">
        <v>5.8064291423246717</v>
      </c>
      <c r="E42" s="7">
        <f>5.80642914232467 * $B$36 / 100</f>
        <v>5.8064291423246699</v>
      </c>
    </row>
    <row r="43" spans="1:5" x14ac:dyDescent="0.25">
      <c r="A43" s="5">
        <v>160</v>
      </c>
      <c r="B43" s="6">
        <v>48.576362445873713</v>
      </c>
      <c r="C43" s="6">
        <f>48.5763624458737 * $B$36 / 100</f>
        <v>48.576362445873698</v>
      </c>
      <c r="D43" s="6">
        <v>6.1205137207079847</v>
      </c>
      <c r="E43" s="7">
        <f>6.12051372070798 * $B$36 / 100</f>
        <v>6.1205137207079803</v>
      </c>
    </row>
    <row r="44" spans="1:5" x14ac:dyDescent="0.25">
      <c r="A44" s="5">
        <v>176</v>
      </c>
      <c r="B44" s="6">
        <v>50.947318745152607</v>
      </c>
      <c r="C44" s="6">
        <f>50.9473187451526 * $B$36 / 100</f>
        <v>50.9473187451526</v>
      </c>
      <c r="D44" s="6">
        <v>6.4192489456253501</v>
      </c>
      <c r="E44" s="7">
        <f>6.41924894562535 * $B$36 / 100</f>
        <v>6.4192489456253501</v>
      </c>
    </row>
    <row r="45" spans="1:5" x14ac:dyDescent="0.25">
      <c r="A45" s="5">
        <v>192</v>
      </c>
      <c r="B45" s="6">
        <v>53.212738946303702</v>
      </c>
      <c r="C45" s="6">
        <f>53.2127389463037 * $B$36 / 100</f>
        <v>53.212738946303695</v>
      </c>
      <c r="D45" s="6">
        <v>6.7046868567032742</v>
      </c>
      <c r="E45" s="7">
        <f>6.70468685670327 * $B$36 / 100</f>
        <v>6.7046868567032698</v>
      </c>
    </row>
    <row r="46" spans="1:5" x14ac:dyDescent="0.25">
      <c r="A46" s="5">
        <v>208</v>
      </c>
      <c r="B46" s="6">
        <v>55.385574701493852</v>
      </c>
      <c r="C46" s="6">
        <f>55.3855747014938 * $B$36 / 100</f>
        <v>55.385574701493809</v>
      </c>
      <c r="D46" s="6">
        <v>6.9784593333333316</v>
      </c>
      <c r="E46" s="7">
        <f>6.97845933333333 * $B$36 / 100</f>
        <v>6.9784593333333298</v>
      </c>
    </row>
    <row r="47" spans="1:5" x14ac:dyDescent="0.25">
      <c r="A47" s="5">
        <v>224</v>
      </c>
      <c r="B47" s="6">
        <v>57.446605760242683</v>
      </c>
      <c r="C47" s="6">
        <f>57.4466057602426 * $B$36 / 100</f>
        <v>57.446605760242598</v>
      </c>
      <c r="D47" s="6">
        <v>7.238144666666666</v>
      </c>
      <c r="E47" s="7">
        <f>7.23814466666666 * $B$36 / 100</f>
        <v>7.2381446666666598</v>
      </c>
    </row>
    <row r="48" spans="1:5" x14ac:dyDescent="0.25">
      <c r="A48" s="5">
        <v>240</v>
      </c>
      <c r="B48" s="6">
        <v>59.507636818991507</v>
      </c>
      <c r="C48" s="6">
        <f>59.5076368189915 * $B$36 / 100</f>
        <v>59.507636818991507</v>
      </c>
      <c r="D48" s="6">
        <v>7.4978300000000004</v>
      </c>
      <c r="E48" s="7">
        <f>7.49782999999999 * $B$36 / 100</f>
        <v>7.4978299999999898</v>
      </c>
    </row>
    <row r="49" spans="1:5" x14ac:dyDescent="0.25">
      <c r="A49" s="5">
        <v>256</v>
      </c>
      <c r="B49" s="6">
        <v>61.568667877740353</v>
      </c>
      <c r="C49" s="6">
        <f>61.5686678777403 * $B$36 / 100</f>
        <v>61.568667877740296</v>
      </c>
      <c r="D49" s="6">
        <v>7.7575153333333331</v>
      </c>
      <c r="E49" s="7">
        <f>7.75751533333333 * $B$36 / 100</f>
        <v>7.7575153333333313</v>
      </c>
    </row>
    <row r="50" spans="1:5" x14ac:dyDescent="0.25">
      <c r="A50" s="5">
        <v>272</v>
      </c>
      <c r="B50" s="6">
        <v>63.629698936489177</v>
      </c>
      <c r="C50" s="6">
        <f>63.6296989364891 * $B$36 / 100</f>
        <v>63.629698936489106</v>
      </c>
      <c r="D50" s="6">
        <v>8.0172006666666658</v>
      </c>
      <c r="E50" s="7">
        <f>8.01720066666666 * $B$36 / 100</f>
        <v>8.0172006666666604</v>
      </c>
    </row>
    <row r="51" spans="1:5" x14ac:dyDescent="0.25">
      <c r="A51" s="5">
        <v>288</v>
      </c>
      <c r="B51" s="6">
        <v>65.690729995238016</v>
      </c>
      <c r="C51" s="6">
        <f>65.690729995238 * $B$36 / 100</f>
        <v>65.690729995238001</v>
      </c>
      <c r="D51" s="6">
        <v>8.2768859999999993</v>
      </c>
      <c r="E51" s="7">
        <f>8.276886 * $B$36 / 100</f>
        <v>8.2768859999999993</v>
      </c>
    </row>
    <row r="52" spans="1:5" x14ac:dyDescent="0.25">
      <c r="A52" s="5">
        <v>304</v>
      </c>
      <c r="B52" s="6">
        <v>67.657902255771702</v>
      </c>
      <c r="C52" s="6">
        <f>67.6579022557717 * $B$36 / 100</f>
        <v>67.657902255771702</v>
      </c>
      <c r="D52" s="6">
        <v>8.5247453333333318</v>
      </c>
      <c r="E52" s="7">
        <f>8.52474533333333 * $B$36 / 100</f>
        <v>8.5247453333333301</v>
      </c>
    </row>
    <row r="53" spans="1:5" x14ac:dyDescent="0.25">
      <c r="A53" s="5">
        <v>320</v>
      </c>
      <c r="B53" s="6">
        <v>69.343498121659991</v>
      </c>
      <c r="C53" s="6">
        <f>69.3434981216599 * $B$36 / 100</f>
        <v>69.343498121659906</v>
      </c>
      <c r="D53" s="6">
        <v>8.7371266666666667</v>
      </c>
      <c r="E53" s="7">
        <f>8.73712666666666 * $B$36 / 100</f>
        <v>8.7371266666666596</v>
      </c>
    </row>
    <row r="54" spans="1:5" x14ac:dyDescent="0.25">
      <c r="A54" s="5">
        <v>336</v>
      </c>
      <c r="B54" s="6">
        <v>71.029093987548293</v>
      </c>
      <c r="C54" s="6">
        <f>71.0290939875483 * $B$36 / 100</f>
        <v>71.029093987548293</v>
      </c>
      <c r="D54" s="6">
        <v>8.9495080000000016</v>
      </c>
      <c r="E54" s="7">
        <f>8.949508 * $B$36 / 100</f>
        <v>8.9495079999999998</v>
      </c>
    </row>
    <row r="55" spans="1:5" x14ac:dyDescent="0.25">
      <c r="A55" s="5">
        <v>352</v>
      </c>
      <c r="B55" s="6">
        <v>72.714689853436582</v>
      </c>
      <c r="C55" s="6">
        <f>72.7146898534365 * $B$36 / 100</f>
        <v>72.714689853436496</v>
      </c>
      <c r="D55" s="6">
        <v>9.1618893333333347</v>
      </c>
      <c r="E55" s="7">
        <f>9.16188933333333 * $B$36 / 100</f>
        <v>9.1618893333333293</v>
      </c>
    </row>
    <row r="56" spans="1:5" x14ac:dyDescent="0.25">
      <c r="A56" s="5">
        <v>368</v>
      </c>
      <c r="B56" s="6">
        <v>74.40028571932487</v>
      </c>
      <c r="C56" s="6">
        <f>74.4002857193248 * $B$36 / 100</f>
        <v>74.400285719324799</v>
      </c>
      <c r="D56" s="6">
        <v>9.3742706666666695</v>
      </c>
      <c r="E56" s="7">
        <f>9.37427066666667 * $B$36 / 100</f>
        <v>9.3742706666666695</v>
      </c>
    </row>
    <row r="57" spans="1:5" x14ac:dyDescent="0.25">
      <c r="A57" s="5">
        <v>384</v>
      </c>
      <c r="B57" s="6">
        <v>76.085881585213158</v>
      </c>
      <c r="C57" s="6">
        <f>76.0858815852131 * $B$36 / 100</f>
        <v>76.085881585213102</v>
      </c>
      <c r="D57" s="6">
        <v>9.5866520000000008</v>
      </c>
      <c r="E57" s="7">
        <f>9.586652 * $B$36 / 100</f>
        <v>9.5866520000000008</v>
      </c>
    </row>
    <row r="58" spans="1:5" x14ac:dyDescent="0.25">
      <c r="A58" s="5">
        <v>400</v>
      </c>
      <c r="B58" s="6">
        <v>77.771477451101447</v>
      </c>
      <c r="C58" s="6">
        <f>77.7714774511014 * $B$36 / 100</f>
        <v>77.771477451101404</v>
      </c>
      <c r="D58" s="6">
        <v>9.7990333333333339</v>
      </c>
      <c r="E58" s="7">
        <f>9.79903333333333 * $B$36 / 100</f>
        <v>9.7990333333333304</v>
      </c>
    </row>
    <row r="59" spans="1:5" x14ac:dyDescent="0.25">
      <c r="A59" s="5">
        <v>416</v>
      </c>
      <c r="B59" s="6">
        <v>79.262403216987963</v>
      </c>
      <c r="C59" s="6">
        <f>79.2624032169879 * $B$36 / 100</f>
        <v>79.262403216987906</v>
      </c>
      <c r="D59" s="6">
        <v>9.9868866666666669</v>
      </c>
      <c r="E59" s="7">
        <f>9.98688666666666 * $B$36 / 100</f>
        <v>9.9868866666666598</v>
      </c>
    </row>
    <row r="60" spans="1:5" x14ac:dyDescent="0.25">
      <c r="A60" s="5">
        <v>432</v>
      </c>
      <c r="B60" s="6">
        <v>80.753328982874493</v>
      </c>
      <c r="C60" s="6">
        <f>80.7533289828744 * $B$36 / 100</f>
        <v>80.753328982874393</v>
      </c>
      <c r="D60" s="6">
        <v>10.17474</v>
      </c>
      <c r="E60" s="7">
        <f>10.17474 * $B$36 / 100</f>
        <v>10.17474</v>
      </c>
    </row>
    <row r="61" spans="1:5" x14ac:dyDescent="0.25">
      <c r="A61" s="5">
        <v>448</v>
      </c>
      <c r="B61" s="6">
        <v>82.244254748761008</v>
      </c>
      <c r="C61" s="6">
        <f>82.244254748761 * $B$36 / 100</f>
        <v>82.244254748760994</v>
      </c>
      <c r="D61" s="6">
        <v>10.362593333333329</v>
      </c>
      <c r="E61" s="7">
        <f>10.3625933333333 * $B$36 / 100</f>
        <v>10.362593333333301</v>
      </c>
    </row>
    <row r="62" spans="1:5" x14ac:dyDescent="0.25">
      <c r="A62" s="5">
        <v>464</v>
      </c>
      <c r="B62" s="6">
        <v>83.735180514647524</v>
      </c>
      <c r="C62" s="6">
        <f>83.7351805146475 * $B$36 / 100</f>
        <v>83.735180514647496</v>
      </c>
      <c r="D62" s="6">
        <v>10.550446666666669</v>
      </c>
      <c r="E62" s="7">
        <f>10.5504466666666 * $B$36 / 100</f>
        <v>10.5504466666666</v>
      </c>
    </row>
    <row r="63" spans="1:5" x14ac:dyDescent="0.25">
      <c r="A63" s="5">
        <v>480</v>
      </c>
      <c r="B63" s="6">
        <v>85.226106280534054</v>
      </c>
      <c r="C63" s="6">
        <f>85.226106280534 * $B$36 / 100</f>
        <v>85.226106280533998</v>
      </c>
      <c r="D63" s="6">
        <v>10.738300000000001</v>
      </c>
      <c r="E63" s="7">
        <f>10.7383 * $B$36 / 100</f>
        <v>10.738300000000002</v>
      </c>
    </row>
    <row r="64" spans="1:5" x14ac:dyDescent="0.25">
      <c r="A64" s="5">
        <v>496</v>
      </c>
      <c r="B64" s="6">
        <v>86.71703204642057</v>
      </c>
      <c r="C64" s="6">
        <f>86.7170320464205 * $B$36 / 100</f>
        <v>86.717032046420499</v>
      </c>
      <c r="D64" s="6">
        <v>10.92615333333333</v>
      </c>
      <c r="E64" s="7">
        <f>10.9261533333333 * $B$36 / 100</f>
        <v>10.9261533333333</v>
      </c>
    </row>
    <row r="65" spans="1:18" x14ac:dyDescent="0.25">
      <c r="A65" s="5">
        <v>512</v>
      </c>
      <c r="B65" s="6">
        <v>88.095559004567974</v>
      </c>
      <c r="C65" s="6">
        <f>88.0955590045679 * $B$36 / 100</f>
        <v>88.095559004567889</v>
      </c>
      <c r="D65" s="6">
        <v>11.099844666666669</v>
      </c>
      <c r="E65" s="7">
        <f>11.0998446666666 * $B$36 / 100</f>
        <v>11.0998446666666</v>
      </c>
    </row>
    <row r="66" spans="1:18" x14ac:dyDescent="0.25">
      <c r="A66" s="5">
        <v>528</v>
      </c>
      <c r="B66" s="6">
        <v>89.436619693469012</v>
      </c>
      <c r="C66" s="6">
        <f>89.436619693469 * $B$36 / 100</f>
        <v>89.436619693468998</v>
      </c>
      <c r="D66" s="6">
        <v>11.268815333333331</v>
      </c>
      <c r="E66" s="7">
        <f>11.2688153333333 * $B$36 / 100</f>
        <v>11.268815333333301</v>
      </c>
    </row>
    <row r="67" spans="1:18" x14ac:dyDescent="0.25">
      <c r="A67" s="5">
        <v>544</v>
      </c>
      <c r="B67" s="6">
        <v>90.77768038237005</v>
      </c>
      <c r="C67" s="6">
        <f>90.77768038237 * $B$36 / 100</f>
        <v>90.777680382369994</v>
      </c>
      <c r="D67" s="6">
        <v>11.437785999999999</v>
      </c>
      <c r="E67" s="7">
        <f>11.437786 * $B$36 / 100</f>
        <v>11.437785999999999</v>
      </c>
    </row>
    <row r="68" spans="1:18" x14ac:dyDescent="0.25">
      <c r="A68" s="5">
        <v>560</v>
      </c>
      <c r="B68" s="6">
        <v>92.118741071271089</v>
      </c>
      <c r="C68" s="6">
        <f>92.118741071271 * $B$36 / 100</f>
        <v>92.118741071271003</v>
      </c>
      <c r="D68" s="6">
        <v>11.60675666666666</v>
      </c>
      <c r="E68" s="7">
        <f>11.6067566666666 * $B$36 / 100</f>
        <v>11.6067566666666</v>
      </c>
    </row>
    <row r="69" spans="1:18" x14ac:dyDescent="0.25">
      <c r="A69" s="5">
        <v>576</v>
      </c>
      <c r="B69" s="6">
        <v>93.459801760172127</v>
      </c>
      <c r="C69" s="6">
        <f>93.4598017601721 * $B$36 / 100</f>
        <v>93.459801760172098</v>
      </c>
      <c r="D69" s="6">
        <v>11.775727333333331</v>
      </c>
      <c r="E69" s="7">
        <f>11.7757273333333 * $B$36 / 100</f>
        <v>11.7757273333333</v>
      </c>
    </row>
    <row r="70" spans="1:18" x14ac:dyDescent="0.25">
      <c r="A70" s="5">
        <v>592</v>
      </c>
      <c r="B70" s="6">
        <v>94.800862449073179</v>
      </c>
      <c r="C70" s="6">
        <f>94.8008624490731 * $B$36 / 100</f>
        <v>94.800862449073108</v>
      </c>
      <c r="D70" s="6">
        <v>11.944698000000001</v>
      </c>
      <c r="E70" s="7">
        <f>11.9446979999999 * $B$36 / 100</f>
        <v>11.944697999999898</v>
      </c>
    </row>
    <row r="71" spans="1:18" x14ac:dyDescent="0.25">
      <c r="A71" s="5">
        <v>608</v>
      </c>
      <c r="B71" s="6">
        <v>96.073414187016027</v>
      </c>
      <c r="C71" s="6">
        <f>96.073414187016 * $B$36 / 100</f>
        <v>96.073414187015999</v>
      </c>
      <c r="D71" s="6">
        <v>12.105036691088049</v>
      </c>
      <c r="E71" s="7">
        <f>12.105036691088 * $B$36 / 100</f>
        <v>12.105036691087998</v>
      </c>
    </row>
    <row r="72" spans="1:18" x14ac:dyDescent="0.25">
      <c r="A72" s="5">
        <v>624</v>
      </c>
      <c r="B72" s="6">
        <v>97.329329115183839</v>
      </c>
      <c r="C72" s="6">
        <f>97.3293291151838 * $B$36 / 100</f>
        <v>97.329329115183796</v>
      </c>
      <c r="D72" s="6">
        <v>12.263279181115131</v>
      </c>
      <c r="E72" s="7">
        <f>12.2632791811151 * $B$36 / 100</f>
        <v>12.263279181115102</v>
      </c>
    </row>
    <row r="73" spans="1:18" x14ac:dyDescent="0.25">
      <c r="A73" s="8">
        <v>640</v>
      </c>
      <c r="B73" s="9">
        <v>98.569243166789178</v>
      </c>
      <c r="C73" s="9">
        <f>98.5692431667891 * $B$36 / 100</f>
        <v>98.569243166789093</v>
      </c>
      <c r="D73" s="9">
        <v>12.41950559625284</v>
      </c>
      <c r="E73" s="10">
        <f>12.4195055962528 * $B$36 / 100</f>
        <v>12.419505596252799</v>
      </c>
    </row>
    <row r="75" spans="1:18" ht="28.9" customHeight="1" x14ac:dyDescent="0.5">
      <c r="A75" s="1" t="s">
        <v>23</v>
      </c>
      <c r="B75" s="1"/>
    </row>
    <row r="76" spans="1:18" x14ac:dyDescent="0.25">
      <c r="A76" s="21" t="s">
        <v>24</v>
      </c>
      <c r="B76" s="22">
        <v>0</v>
      </c>
      <c r="C76" s="22">
        <v>6.25</v>
      </c>
      <c r="D76" s="22">
        <v>12.5</v>
      </c>
      <c r="E76" s="22">
        <v>18.75</v>
      </c>
      <c r="F76" s="22">
        <v>25</v>
      </c>
      <c r="G76" s="22">
        <v>31.25</v>
      </c>
      <c r="H76" s="22">
        <v>37.5</v>
      </c>
      <c r="I76" s="22">
        <v>43.75</v>
      </c>
      <c r="J76" s="22">
        <v>50</v>
      </c>
      <c r="K76" s="22">
        <v>56.25</v>
      </c>
      <c r="L76" s="22">
        <v>62.5</v>
      </c>
      <c r="M76" s="22">
        <v>68.75</v>
      </c>
      <c r="N76" s="22">
        <v>75</v>
      </c>
      <c r="O76" s="22">
        <v>81.25</v>
      </c>
      <c r="P76" s="22">
        <v>87.5</v>
      </c>
      <c r="Q76" s="22">
        <v>93.75</v>
      </c>
      <c r="R76" s="23">
        <v>100</v>
      </c>
    </row>
    <row r="77" spans="1:18" x14ac:dyDescent="0.25">
      <c r="A77" s="5" t="s">
        <v>25</v>
      </c>
      <c r="B77" s="6">
        <f>0 * $B$38 + (1 - 0) * $B$37</f>
        <v>14.7</v>
      </c>
      <c r="C77" s="6">
        <f>0.0625 * $B$38 + (1 - 0.0625) * $B$37</f>
        <v>14.344250000000001</v>
      </c>
      <c r="D77" s="6">
        <f>0.125 * $B$38 + (1 - 0.125) * $B$37</f>
        <v>13.988499999999998</v>
      </c>
      <c r="E77" s="6">
        <f>0.1875 * $B$38 + (1 - 0.1875) * $B$37</f>
        <v>13.63275</v>
      </c>
      <c r="F77" s="6">
        <f>0.25 * $B$38 + (1 - 0.25) * $B$37</f>
        <v>13.276999999999997</v>
      </c>
      <c r="G77" s="6">
        <f>0.3125 * $B$38 + (1 - 0.3125) * $B$37</f>
        <v>12.921249999999999</v>
      </c>
      <c r="H77" s="6">
        <f>0.375 * $B$38 + (1 - 0.375) * $B$37</f>
        <v>12.5655</v>
      </c>
      <c r="I77" s="6">
        <f>0.4375 * $B$38 + (1 - 0.4375) * $B$37</f>
        <v>12.20975</v>
      </c>
      <c r="J77" s="6">
        <f>0.5 * $B$38 + (1 - 0.5) * $B$37</f>
        <v>11.853999999999999</v>
      </c>
      <c r="K77" s="6">
        <f>0.5625 * $B$38 + (1 - 0.5625) * $B$37</f>
        <v>11.498249999999999</v>
      </c>
      <c r="L77" s="6">
        <f>0.625 * $B$38 + (1 - 0.625) * $B$37</f>
        <v>11.142499999999998</v>
      </c>
      <c r="M77" s="6">
        <f>0.6875 * $B$38 + (1 - 0.6875) * $B$37</f>
        <v>10.78675</v>
      </c>
      <c r="N77" s="6">
        <f>0.75 * $B$38 + (1 - 0.75) * $B$37</f>
        <v>10.430999999999999</v>
      </c>
      <c r="O77" s="6">
        <f>0.8125 * $B$38 + (1 - 0.8125) * $B$37</f>
        <v>10.075249999999999</v>
      </c>
      <c r="P77" s="6">
        <f>0.875 * $B$38 + (1 - 0.875) * $B$37</f>
        <v>9.7195</v>
      </c>
      <c r="Q77" s="6">
        <f>0.9375 * $B$38 + (1 - 0.9375) * $B$37</f>
        <v>9.3637499999999978</v>
      </c>
      <c r="R77" s="7">
        <f>1 * $B$38 + (1 - 1) * $B$37</f>
        <v>9.0079999999999991</v>
      </c>
    </row>
    <row r="78" spans="1:18" x14ac:dyDescent="0.25">
      <c r="A78" s="8" t="s">
        <v>26</v>
      </c>
      <c r="B78" s="9">
        <f>(0 * $B$38 + (1 - 0) * $B$37) * $B$36 / 100</f>
        <v>14.7</v>
      </c>
      <c r="C78" s="9">
        <f>(0.0625 * $B$38 + (1 - 0.0625) * $B$37) * $B$36 / 100</f>
        <v>14.344249999999999</v>
      </c>
      <c r="D78" s="9">
        <f>(0.125 * $B$38 + (1 - 0.125) * $B$37) * $B$36 / 100</f>
        <v>13.988499999999998</v>
      </c>
      <c r="E78" s="9">
        <f>(0.1875 * $B$38 + (1 - 0.1875) * $B$37) * $B$36 / 100</f>
        <v>13.632749999999998</v>
      </c>
      <c r="F78" s="9">
        <f>(0.25 * $B$38 + (1 - 0.25) * $B$37) * $B$36 / 100</f>
        <v>13.276999999999997</v>
      </c>
      <c r="G78" s="9">
        <f>(0.3125 * $B$38 + (1 - 0.3125) * $B$37) * $B$36 / 100</f>
        <v>12.921249999999997</v>
      </c>
      <c r="H78" s="9">
        <f>(0.375 * $B$38 + (1 - 0.375) * $B$37) * $B$36 / 100</f>
        <v>12.5655</v>
      </c>
      <c r="I78" s="9">
        <f>(0.4375 * $B$38 + (1 - 0.4375) * $B$37) * $B$36 / 100</f>
        <v>12.20975</v>
      </c>
      <c r="J78" s="9">
        <f>(0.5 * $B$38 + (1 - 0.5) * $B$37) * $B$36 / 100</f>
        <v>11.853999999999999</v>
      </c>
      <c r="K78" s="9">
        <f>(0.5625 * $B$38 + (1 - 0.5625) * $B$37) * $B$36 / 100</f>
        <v>11.498249999999999</v>
      </c>
      <c r="L78" s="9">
        <f>(0.625 * $B$38 + (1 - 0.625) * $B$37) * $B$36 / 100</f>
        <v>11.142499999999998</v>
      </c>
      <c r="M78" s="9">
        <f>(0.6875 * $B$38 + (1 - 0.6875) * $B$37) * $B$36 / 100</f>
        <v>10.78675</v>
      </c>
      <c r="N78" s="9">
        <f>(0.75 * $B$38 + (1 - 0.75) * $B$37) * $B$36 / 100</f>
        <v>10.430999999999999</v>
      </c>
      <c r="O78" s="9">
        <f>(0.8125 * $B$38 + (1 - 0.8125) * $B$37) * $B$36 / 100</f>
        <v>10.075249999999999</v>
      </c>
      <c r="P78" s="9">
        <f>(0.875 * $B$38 + (1 - 0.875) * $B$37) * $B$36 / 100</f>
        <v>9.7195</v>
      </c>
      <c r="Q78" s="9">
        <f>(0.9375 * $B$38 + (1 - 0.9375) * $B$37) * $B$36 / 100</f>
        <v>9.3637499999999978</v>
      </c>
      <c r="R78" s="10">
        <f>(1 * $B$38 + (1 - 1) * $B$37) * $B$36 / 100</f>
        <v>9.0079999999999991</v>
      </c>
    </row>
    <row r="80" spans="1:18" ht="28.9" customHeight="1" x14ac:dyDescent="0.5">
      <c r="A80" s="1" t="s">
        <v>27</v>
      </c>
      <c r="B80" s="1"/>
    </row>
    <row r="81" spans="1:18" x14ac:dyDescent="0.25">
      <c r="A81" s="24" t="s">
        <v>28</v>
      </c>
      <c r="B81" s="25" t="s">
        <v>29</v>
      </c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6"/>
    </row>
    <row r="82" spans="1:18" x14ac:dyDescent="0.25">
      <c r="A82" s="27" t="s">
        <v>39</v>
      </c>
      <c r="B82" s="28">
        <v>4</v>
      </c>
      <c r="C82" s="28">
        <v>5</v>
      </c>
      <c r="D82" s="28">
        <v>6</v>
      </c>
      <c r="E82" s="28">
        <v>7</v>
      </c>
      <c r="F82" s="28">
        <v>8</v>
      </c>
      <c r="G82" s="28">
        <v>9</v>
      </c>
      <c r="H82" s="28">
        <v>10</v>
      </c>
      <c r="I82" s="28">
        <v>11</v>
      </c>
      <c r="J82" s="28">
        <v>12</v>
      </c>
      <c r="K82" s="28">
        <v>13</v>
      </c>
      <c r="L82" s="28">
        <v>14</v>
      </c>
      <c r="M82" s="28">
        <v>15</v>
      </c>
      <c r="N82" s="28">
        <v>16</v>
      </c>
      <c r="O82" s="28">
        <v>17</v>
      </c>
      <c r="P82" s="28">
        <v>18</v>
      </c>
      <c r="Q82" s="28">
        <v>19</v>
      </c>
      <c r="R82" s="29">
        <v>20</v>
      </c>
    </row>
    <row r="83" spans="1:18" x14ac:dyDescent="0.25">
      <c r="A83" s="30">
        <v>128</v>
      </c>
      <c r="B83" s="31">
        <v>7.4646662649732516</v>
      </c>
      <c r="C83" s="31">
        <v>5.7217861988175107</v>
      </c>
      <c r="D83" s="31">
        <v>4.3687347364307278</v>
      </c>
      <c r="E83" s="31">
        <v>3.3393435991165732</v>
      </c>
      <c r="F83" s="31">
        <v>2.5735996971602102</v>
      </c>
      <c r="G83" s="31">
        <v>2.0176451298283258</v>
      </c>
      <c r="H83" s="31">
        <v>1.623777185369135</v>
      </c>
      <c r="I83" s="31">
        <v>1.3504483410123509</v>
      </c>
      <c r="J83" s="31">
        <v>1.1622662629691991</v>
      </c>
      <c r="K83" s="31">
        <v>1.029993806432451</v>
      </c>
      <c r="L83" s="31">
        <v>0.93054901557636605</v>
      </c>
      <c r="M83" s="31">
        <v>0.84700512355671487</v>
      </c>
      <c r="N83" s="31">
        <v>0.76859055251081909</v>
      </c>
      <c r="O83" s="31">
        <v>0.69068891355747297</v>
      </c>
      <c r="P83" s="31">
        <v>0.61483900679698067</v>
      </c>
      <c r="Q83" s="31">
        <v>0.54873482131127815</v>
      </c>
      <c r="R83" s="32">
        <v>0.50622553516362245</v>
      </c>
    </row>
    <row r="84" spans="1:18" x14ac:dyDescent="0.25">
      <c r="A84" s="30">
        <v>144</v>
      </c>
      <c r="B84" s="31">
        <v>7.6522003821423548</v>
      </c>
      <c r="C84" s="31">
        <v>5.8666563412445223</v>
      </c>
      <c r="D84" s="31">
        <v>4.4780397068261806</v>
      </c>
      <c r="E84" s="31">
        <v>3.4195649129737982</v>
      </c>
      <c r="F84" s="31">
        <v>2.6306015827553511</v>
      </c>
      <c r="G84" s="31">
        <v>2.0566745282203449</v>
      </c>
      <c r="H84" s="31">
        <v>1.649463750399788</v>
      </c>
      <c r="I84" s="31">
        <v>1.3668044393062071</v>
      </c>
      <c r="J84" s="31">
        <v>1.1726869739336481</v>
      </c>
      <c r="K84" s="31">
        <v>1.0372569222576711</v>
      </c>
      <c r="L84" s="31">
        <v>0.93681504123535775</v>
      </c>
      <c r="M84" s="31">
        <v>0.85381727680527852</v>
      </c>
      <c r="N84" s="31">
        <v>0.77687476388756949</v>
      </c>
      <c r="O84" s="31">
        <v>0.70075382638383465</v>
      </c>
      <c r="P84" s="31">
        <v>0.62637597717719384</v>
      </c>
      <c r="Q84" s="31">
        <v>0.56081791813238635</v>
      </c>
      <c r="R84" s="32">
        <v>0.51731154009546299</v>
      </c>
    </row>
    <row r="85" spans="1:18" x14ac:dyDescent="0.25">
      <c r="A85" s="30">
        <v>160</v>
      </c>
      <c r="B85" s="31">
        <v>7.8446767559092709</v>
      </c>
      <c r="C85" s="31">
        <v>6.0157554834556404</v>
      </c>
      <c r="D85" s="31">
        <v>4.5909160217982867</v>
      </c>
      <c r="E85" s="31">
        <v>3.502755517806484</v>
      </c>
      <c r="F85" s="31">
        <v>2.6900263073310202</v>
      </c>
      <c r="G85" s="31">
        <v>2.0976359152041968</v>
      </c>
      <c r="H85" s="31">
        <v>1.6766470552398489</v>
      </c>
      <c r="I85" s="31">
        <v>1.3842776302333031</v>
      </c>
      <c r="J85" s="31">
        <v>1.1839007319614101</v>
      </c>
      <c r="K85" s="31">
        <v>1.04504464118255</v>
      </c>
      <c r="L85" s="31">
        <v>0.94339282763659671</v>
      </c>
      <c r="M85" s="31">
        <v>0.86078395004495079</v>
      </c>
      <c r="N85" s="31">
        <v>0.7852118561105359</v>
      </c>
      <c r="O85" s="31">
        <v>0.71082558251777794</v>
      </c>
      <c r="P85" s="31">
        <v>0.63792935493259872</v>
      </c>
      <c r="Q85" s="31">
        <v>0.57298258800253143</v>
      </c>
      <c r="R85" s="32">
        <v>0.5285998853564563</v>
      </c>
    </row>
    <row r="86" spans="1:18" x14ac:dyDescent="0.25">
      <c r="A86" s="30">
        <v>176</v>
      </c>
      <c r="B86" s="31">
        <v>8.0421115710778519</v>
      </c>
      <c r="C86" s="31">
        <v>6.1690985604667761</v>
      </c>
      <c r="D86" s="31">
        <v>4.7073773665750194</v>
      </c>
      <c r="E86" s="31">
        <v>3.5889278490546559</v>
      </c>
      <c r="F86" s="31">
        <v>2.7518850565392938</v>
      </c>
      <c r="G86" s="31">
        <v>2.140539226644036</v>
      </c>
      <c r="H86" s="31">
        <v>1.705335785965524</v>
      </c>
      <c r="I86" s="31">
        <v>1.402875350081898</v>
      </c>
      <c r="J86" s="31">
        <v>1.1959137235528119</v>
      </c>
      <c r="K86" s="31">
        <v>1.0533618999194569</v>
      </c>
      <c r="L86" s="31">
        <v>0.95028606170453322</v>
      </c>
      <c r="M86" s="31">
        <v>0.86790758041221494</v>
      </c>
      <c r="N86" s="31">
        <v>0.79360301652826215</v>
      </c>
      <c r="O86" s="31">
        <v>0.72090411951990774</v>
      </c>
      <c r="P86" s="31">
        <v>0.6494978278358623</v>
      </c>
      <c r="Q86" s="31">
        <v>0.58522626890647433</v>
      </c>
      <c r="R86" s="32">
        <v>0.54008675914342774</v>
      </c>
    </row>
    <row r="87" spans="1:18" x14ac:dyDescent="0.25">
      <c r="A87" s="30">
        <v>192</v>
      </c>
      <c r="B87" s="31">
        <v>8.2445210671281597</v>
      </c>
      <c r="C87" s="31">
        <v>6.3267005619700534</v>
      </c>
      <c r="D87" s="31">
        <v>4.8274374810605538</v>
      </c>
      <c r="E87" s="31">
        <v>3.6780943968345592</v>
      </c>
      <c r="F87" s="31">
        <v>2.816189070708468</v>
      </c>
      <c r="G87" s="31">
        <v>2.1853944530802081</v>
      </c>
      <c r="H87" s="31">
        <v>1.735538683329219</v>
      </c>
      <c r="I87" s="31">
        <v>1.4226050898164539</v>
      </c>
      <c r="J87" s="31">
        <v>1.2087321898843799</v>
      </c>
      <c r="K87" s="31">
        <v>1.0622136898569901</v>
      </c>
      <c r="L87" s="31">
        <v>0.95749848503978341</v>
      </c>
      <c r="M87" s="31">
        <v>0.87519065971976695</v>
      </c>
      <c r="N87" s="31">
        <v>0.80204948716548319</v>
      </c>
      <c r="O87" s="31">
        <v>0.73098942962698399</v>
      </c>
      <c r="P87" s="31">
        <v>0.66108013833580515</v>
      </c>
      <c r="Q87" s="31">
        <v>0.59754645350508884</v>
      </c>
      <c r="R87" s="32">
        <v>0.55176840432934426</v>
      </c>
    </row>
    <row r="88" spans="1:18" x14ac:dyDescent="0.25">
      <c r="A88" s="30">
        <v>208</v>
      </c>
      <c r="B88" s="31">
        <v>8.4519215382164656</v>
      </c>
      <c r="C88" s="31">
        <v>6.4885765323337932</v>
      </c>
      <c r="D88" s="31">
        <v>4.9511101598352774</v>
      </c>
      <c r="E88" s="31">
        <v>3.7702677059386258</v>
      </c>
      <c r="F88" s="31">
        <v>2.8829496448430429</v>
      </c>
      <c r="G88" s="31">
        <v>2.2322116397292708</v>
      </c>
      <c r="H88" s="31">
        <v>1.767264542759555</v>
      </c>
      <c r="I88" s="31">
        <v>1.4434743950776541</v>
      </c>
      <c r="J88" s="31">
        <v>1.2223624268088391</v>
      </c>
      <c r="K88" s="31">
        <v>1.071605057059926</v>
      </c>
      <c r="L88" s="31">
        <v>0.9650338939192139</v>
      </c>
      <c r="M88" s="31">
        <v>0.88263573445652088</v>
      </c>
      <c r="N88" s="31">
        <v>0.81055256472319182</v>
      </c>
      <c r="O88" s="31">
        <v>0.74108155975208578</v>
      </c>
      <c r="P88" s="31">
        <v>0.67267508355755345</v>
      </c>
      <c r="Q88" s="31">
        <v>0.60994068913556254</v>
      </c>
      <c r="R88" s="32">
        <v>0.56364111846341536</v>
      </c>
    </row>
    <row r="89" spans="1:18" x14ac:dyDescent="0.25">
      <c r="A89" s="30">
        <v>224</v>
      </c>
      <c r="B89" s="31">
        <v>8.6643293331752229</v>
      </c>
      <c r="C89" s="31">
        <v>6.6547415706025133</v>
      </c>
      <c r="D89" s="31">
        <v>5.0784092521557644</v>
      </c>
      <c r="E89" s="31">
        <v>3.8654603758354922</v>
      </c>
      <c r="F89" s="31">
        <v>2.9521781286237152</v>
      </c>
      <c r="G89" s="31">
        <v>2.281000886483973</v>
      </c>
      <c r="H89" s="31">
        <v>1.800522214361328</v>
      </c>
      <c r="I89" s="31">
        <v>1.465490866182352</v>
      </c>
      <c r="J89" s="31">
        <v>1.23681078485512</v>
      </c>
      <c r="K89" s="31">
        <v>1.0815411022692449</v>
      </c>
      <c r="L89" s="31">
        <v>0.97289613929585383</v>
      </c>
      <c r="M89" s="31">
        <v>0.89024540578756051</v>
      </c>
      <c r="N89" s="31">
        <v>0.81911360057851657</v>
      </c>
      <c r="O89" s="31">
        <v>0.7511806114844114</v>
      </c>
      <c r="P89" s="31">
        <v>0.6842815153023738</v>
      </c>
      <c r="Q89" s="31">
        <v>0.6224065778111979</v>
      </c>
      <c r="R89" s="32">
        <v>0.5757012537709727</v>
      </c>
    </row>
    <row r="90" spans="1:18" x14ac:dyDescent="0.25">
      <c r="A90" s="30">
        <v>240</v>
      </c>
      <c r="B90" s="31">
        <v>8.8817608555131038</v>
      </c>
      <c r="C90" s="31">
        <v>6.8252108304969399</v>
      </c>
      <c r="D90" s="31">
        <v>5.2093486619547953</v>
      </c>
      <c r="E90" s="31">
        <v>3.9636850606700018</v>
      </c>
      <c r="F90" s="31">
        <v>3.0238859264073752</v>
      </c>
      <c r="G90" s="31">
        <v>2.3317723479132768</v>
      </c>
      <c r="H90" s="31">
        <v>1.8353206029155671</v>
      </c>
      <c r="I90" s="31">
        <v>1.488662158123623</v>
      </c>
      <c r="J90" s="31">
        <v>1.2520836692283419</v>
      </c>
      <c r="K90" s="31">
        <v>1.092026980902143</v>
      </c>
      <c r="L90" s="31">
        <v>0.98108912679894356</v>
      </c>
      <c r="M90" s="31">
        <v>0.89802232955418759</v>
      </c>
      <c r="N90" s="31">
        <v>0.82773400078483494</v>
      </c>
      <c r="O90" s="31">
        <v>0.76128674108936079</v>
      </c>
      <c r="P90" s="31">
        <v>0.69589834004774065</v>
      </c>
      <c r="Q90" s="31">
        <v>0.6349417762215166</v>
      </c>
      <c r="R90" s="32">
        <v>0.58794521715364545</v>
      </c>
    </row>
    <row r="91" spans="1:18" x14ac:dyDescent="0.25">
      <c r="A91" s="30">
        <v>256</v>
      </c>
      <c r="B91" s="31">
        <v>9.1042325634149837</v>
      </c>
      <c r="C91" s="31">
        <v>6.9999995204140104</v>
      </c>
      <c r="D91" s="31">
        <v>5.3439423478413692</v>
      </c>
      <c r="E91" s="31">
        <v>4.0649544692631991</v>
      </c>
      <c r="F91" s="31">
        <v>3.0980844972271342</v>
      </c>
      <c r="G91" s="31">
        <v>2.3845362332623381</v>
      </c>
      <c r="H91" s="31">
        <v>1.871668667879484</v>
      </c>
      <c r="I91" s="31">
        <v>1.5129959805707549</v>
      </c>
      <c r="J91" s="31">
        <v>1.268187539809851</v>
      </c>
      <c r="K91" s="31">
        <v>1.103067903051997</v>
      </c>
      <c r="L91" s="31">
        <v>0.98961681673394952</v>
      </c>
      <c r="M91" s="31">
        <v>0.90596921627392779</v>
      </c>
      <c r="N91" s="31">
        <v>0.83641522607170082</v>
      </c>
      <c r="O91" s="31">
        <v>0.77140015950857699</v>
      </c>
      <c r="P91" s="31">
        <v>0.70752451894732393</v>
      </c>
      <c r="Q91" s="31">
        <v>0.64754399573229915</v>
      </c>
      <c r="R91" s="32">
        <v>0.60036947018925002</v>
      </c>
    </row>
    <row r="92" spans="1:18" x14ac:dyDescent="0.25">
      <c r="A92" s="30">
        <v>272</v>
      </c>
      <c r="B92" s="31">
        <v>9.3317609697419304</v>
      </c>
      <c r="C92" s="31">
        <v>7.1791229034268369</v>
      </c>
      <c r="D92" s="31">
        <v>5.482204323100655</v>
      </c>
      <c r="E92" s="31">
        <v>4.1692813651123251</v>
      </c>
      <c r="F92" s="31">
        <v>3.1747853547922902</v>
      </c>
      <c r="G92" s="31">
        <v>2.4393028064525191</v>
      </c>
      <c r="H92" s="31">
        <v>1.9095754233864921</v>
      </c>
      <c r="I92" s="31">
        <v>1.5385000978692129</v>
      </c>
      <c r="J92" s="31">
        <v>1.2851289111571711</v>
      </c>
      <c r="K92" s="31">
        <v>1.114669133488428</v>
      </c>
      <c r="L92" s="31">
        <v>0.99848322408250756</v>
      </c>
      <c r="M92" s="31">
        <v>0.91408883114047546</v>
      </c>
      <c r="N92" s="31">
        <v>0.84515879184490061</v>
      </c>
      <c r="O92" s="31">
        <v>0.78152113235988852</v>
      </c>
      <c r="P92" s="31">
        <v>0.7191590678310219</v>
      </c>
      <c r="Q92" s="31">
        <v>0.66021100238545216</v>
      </c>
      <c r="R92" s="32">
        <v>0.61297052913178618</v>
      </c>
    </row>
    <row r="93" spans="1:18" x14ac:dyDescent="0.25">
      <c r="A93" s="30">
        <v>288</v>
      </c>
      <c r="B93" s="31">
        <v>9.5643626420312131</v>
      </c>
      <c r="C93" s="31">
        <v>7.3625962972847629</v>
      </c>
      <c r="D93" s="31">
        <v>5.6241486556940528</v>
      </c>
      <c r="E93" s="31">
        <v>4.2766785663908307</v>
      </c>
      <c r="F93" s="31">
        <v>3.254000067488346</v>
      </c>
      <c r="G93" s="31">
        <v>2.4960823860813801</v>
      </c>
      <c r="H93" s="31">
        <v>1.949049938246215</v>
      </c>
      <c r="I93" s="31">
        <v>1.565182329040675</v>
      </c>
      <c r="J93" s="31">
        <v>1.3029143525040521</v>
      </c>
      <c r="K93" s="31">
        <v>1.1268359916572039</v>
      </c>
      <c r="L93" s="31">
        <v>1.0076924185024809</v>
      </c>
      <c r="M93" s="31">
        <v>0.92238399402373805</v>
      </c>
      <c r="N93" s="31">
        <v>0.853966268186376</v>
      </c>
      <c r="O93" s="31">
        <v>0.79164997993730069</v>
      </c>
      <c r="P93" s="31">
        <v>0.73080105720488941</v>
      </c>
      <c r="Q93" s="31">
        <v>0.6729406168991332</v>
      </c>
      <c r="R93" s="32">
        <v>0.62574496491139808</v>
      </c>
    </row>
    <row r="94" spans="1:18" x14ac:dyDescent="0.25">
      <c r="A94" s="30">
        <v>304</v>
      </c>
      <c r="B94" s="31">
        <v>9.802054202496306</v>
      </c>
      <c r="C94" s="31">
        <v>7.5504350744133184</v>
      </c>
      <c r="D94" s="31">
        <v>5.7697894682591562</v>
      </c>
      <c r="E94" s="31">
        <v>4.3871589459483653</v>
      </c>
      <c r="F94" s="31">
        <v>3.3357402583770139</v>
      </c>
      <c r="G94" s="31">
        <v>2.5548853454226892</v>
      </c>
      <c r="H94" s="31">
        <v>1.990101335944483</v>
      </c>
      <c r="I94" s="31">
        <v>1.593050547783015</v>
      </c>
      <c r="J94" s="31">
        <v>1.321550487760413</v>
      </c>
      <c r="K94" s="31">
        <v>1.1395738516803291</v>
      </c>
      <c r="L94" s="31">
        <v>1.017248524327917</v>
      </c>
      <c r="M94" s="31">
        <v>0.93085757946984093</v>
      </c>
      <c r="N94" s="31">
        <v>0.86283927985431674</v>
      </c>
      <c r="O94" s="31">
        <v>0.80178707721105658</v>
      </c>
      <c r="P94" s="31">
        <v>0.74244961225122819</v>
      </c>
      <c r="Q94" s="31">
        <v>0.68573071466767754</v>
      </c>
      <c r="R94" s="32">
        <v>0.63868940313455647</v>
      </c>
    </row>
    <row r="95" spans="1:18" x14ac:dyDescent="0.25">
      <c r="A95" s="30">
        <v>320</v>
      </c>
      <c r="B95" s="31">
        <v>10.0448523280269</v>
      </c>
      <c r="C95" s="31">
        <v>7.7426546619142496</v>
      </c>
      <c r="D95" s="31">
        <v>5.9191409381097539</v>
      </c>
      <c r="E95" s="31">
        <v>4.5007354313107832</v>
      </c>
      <c r="F95" s="31">
        <v>3.4200176051962088</v>
      </c>
      <c r="G95" s="31">
        <v>2.6157221124264201</v>
      </c>
      <c r="H95" s="31">
        <v>2.0327387946433282</v>
      </c>
      <c r="I95" s="31">
        <v>1.622112682470344</v>
      </c>
      <c r="J95" s="31">
        <v>1.3410439955124169</v>
      </c>
      <c r="K95" s="31">
        <v>1.15288814235601</v>
      </c>
      <c r="L95" s="31">
        <v>1.0271557205690769</v>
      </c>
      <c r="M95" s="31">
        <v>0.93951251670109692</v>
      </c>
      <c r="N95" s="31">
        <v>0.87177950628310796</v>
      </c>
      <c r="O95" s="31">
        <v>0.81193285382759595</v>
      </c>
      <c r="P95" s="31">
        <v>0.75410391282857625</v>
      </c>
      <c r="Q95" s="31">
        <v>0.6985792257616481</v>
      </c>
      <c r="R95" s="32">
        <v>0.65180052408381084</v>
      </c>
    </row>
    <row r="96" spans="1:18" x14ac:dyDescent="0.25">
      <c r="A96" s="30">
        <v>336</v>
      </c>
      <c r="B96" s="31">
        <v>10.292773750188861</v>
      </c>
      <c r="C96" s="31">
        <v>7.9392705415654774</v>
      </c>
      <c r="D96" s="31">
        <v>6.0722172972358406</v>
      </c>
      <c r="E96" s="31">
        <v>4.6174210046801312</v>
      </c>
      <c r="F96" s="31">
        <v>3.5068438403600259</v>
      </c>
      <c r="G96" s="31">
        <v>2.6786031697187278</v>
      </c>
      <c r="H96" s="31">
        <v>2.0769715471809511</v>
      </c>
      <c r="I96" s="31">
        <v>1.6523767161529279</v>
      </c>
      <c r="J96" s="31">
        <v>1.361401609022401</v>
      </c>
      <c r="K96" s="31">
        <v>1.166784347158639</v>
      </c>
      <c r="L96" s="31">
        <v>1.0374182409124231</v>
      </c>
      <c r="M96" s="31">
        <v>0.94835178961603028</v>
      </c>
      <c r="N96" s="31">
        <v>0.88078868158329171</v>
      </c>
      <c r="O96" s="31">
        <v>0.82208779410952471</v>
      </c>
      <c r="P96" s="31">
        <v>0.76576319347154964</v>
      </c>
      <c r="Q96" s="31">
        <v>0.71148413492777229</v>
      </c>
      <c r="R96" s="32">
        <v>0.6650750627180031</v>
      </c>
    </row>
    <row r="97" spans="1:18" x14ac:dyDescent="0.25">
      <c r="A97" s="30">
        <v>352</v>
      </c>
      <c r="B97" s="31">
        <v>10.545835255224279</v>
      </c>
      <c r="C97" s="31">
        <v>8.1402982498211536</v>
      </c>
      <c r="D97" s="31">
        <v>6.2290328323036226</v>
      </c>
      <c r="E97" s="31">
        <v>4.7372287029346714</v>
      </c>
      <c r="F97" s="31">
        <v>3.5962307509587981</v>
      </c>
      <c r="G97" s="31">
        <v>2.7435390546019951</v>
      </c>
      <c r="H97" s="31">
        <v>2.1228088810718031</v>
      </c>
      <c r="I97" s="31">
        <v>1.68385068655726</v>
      </c>
      <c r="J97" s="31">
        <v>1.382630116228901</v>
      </c>
      <c r="K97" s="31">
        <v>1.1812680042388291</v>
      </c>
      <c r="L97" s="31">
        <v>1.0480403737206121</v>
      </c>
      <c r="M97" s="31">
        <v>0.9573784367893412</v>
      </c>
      <c r="N97" s="31">
        <v>0.88986859454166556</v>
      </c>
      <c r="O97" s="31">
        <v>0.83225243705569363</v>
      </c>
      <c r="P97" s="31">
        <v>0.7774267433910822</v>
      </c>
      <c r="Q97" s="31">
        <v>0.72444348158902006</v>
      </c>
      <c r="R97" s="32">
        <v>0.67850980867213195</v>
      </c>
    </row>
    <row r="98" spans="1:18" x14ac:dyDescent="0.25">
      <c r="A98" s="30">
        <v>368</v>
      </c>
      <c r="B98" s="31">
        <v>10.80405368405145</v>
      </c>
      <c r="C98" s="31">
        <v>8.3457533778116222</v>
      </c>
      <c r="D98" s="31">
        <v>6.3896018846554927</v>
      </c>
      <c r="E98" s="31">
        <v>4.8601716176288647</v>
      </c>
      <c r="F98" s="31">
        <v>3.688190178759025</v>
      </c>
      <c r="G98" s="31">
        <v>2.8105403590547979</v>
      </c>
      <c r="H98" s="31">
        <v>2.1702601385065141</v>
      </c>
      <c r="I98" s="31">
        <v>1.7165426860860169</v>
      </c>
      <c r="J98" s="31">
        <v>1.404736359746674</v>
      </c>
      <c r="K98" s="31">
        <v>1.1963447064233741</v>
      </c>
      <c r="L98" s="31">
        <v>1.0590264620325049</v>
      </c>
      <c r="M98" s="31">
        <v>0.96659555147196874</v>
      </c>
      <c r="N98" s="31">
        <v>0.89902108862119545</v>
      </c>
      <c r="O98" s="31">
        <v>0.84242737634115306</v>
      </c>
      <c r="P98" s="31">
        <v>0.78909390647424282</v>
      </c>
      <c r="Q98" s="31">
        <v>0.7374553598445247</v>
      </c>
      <c r="R98" s="32">
        <v>0.69210160625740991</v>
      </c>
    </row>
    <row r="99" spans="1:18" x14ac:dyDescent="0.25">
      <c r="A99" s="30">
        <v>384</v>
      </c>
      <c r="B99" s="31">
        <v>11.06744593226483</v>
      </c>
      <c r="C99" s="31">
        <v>8.5556515713434198</v>
      </c>
      <c r="D99" s="31">
        <v>6.5539388503100602</v>
      </c>
      <c r="E99" s="31">
        <v>4.9862628949933683</v>
      </c>
      <c r="F99" s="31">
        <v>3.782734020203443</v>
      </c>
      <c r="G99" s="31">
        <v>2.879617729731907</v>
      </c>
      <c r="H99" s="31">
        <v>2.2193347163519119</v>
      </c>
      <c r="I99" s="31">
        <v>1.750460861818115</v>
      </c>
      <c r="J99" s="31">
        <v>1.4277272368666649</v>
      </c>
      <c r="K99" s="31">
        <v>1.2120201012152849</v>
      </c>
      <c r="L99" s="31">
        <v>1.0703809035631779</v>
      </c>
      <c r="M99" s="31">
        <v>0.97600628159101921</v>
      </c>
      <c r="N99" s="31">
        <v>0.90824806196108576</v>
      </c>
      <c r="O99" s="31">
        <v>0.85261326031712448</v>
      </c>
      <c r="P99" s="31">
        <v>0.80076408128436727</v>
      </c>
      <c r="Q99" s="31">
        <v>0.75051791846966143</v>
      </c>
      <c r="R99" s="32">
        <v>0.70584735446123414</v>
      </c>
    </row>
    <row r="100" spans="1:18" x14ac:dyDescent="0.25">
      <c r="A100" s="30">
        <v>400</v>
      </c>
      <c r="B100" s="31">
        <v>11.336028950135139</v>
      </c>
      <c r="C100" s="31">
        <v>8.7700085308992897</v>
      </c>
      <c r="D100" s="31">
        <v>6.7220581799621222</v>
      </c>
      <c r="E100" s="31">
        <v>5.1155157359350367</v>
      </c>
      <c r="F100" s="31">
        <v>3.8798742264109518</v>
      </c>
      <c r="G100" s="31">
        <v>2.950781867964305</v>
      </c>
      <c r="H100" s="31">
        <v>2.2700420661510399</v>
      </c>
      <c r="I100" s="31">
        <v>1.785613415508627</v>
      </c>
      <c r="J100" s="31">
        <v>1.451609699556041</v>
      </c>
      <c r="K100" s="31">
        <v>1.228299890793789</v>
      </c>
      <c r="L100" s="31">
        <v>1.082108150703883</v>
      </c>
      <c r="M100" s="31">
        <v>0.98561382974982725</v>
      </c>
      <c r="N100" s="31">
        <v>0.91755146737669346</v>
      </c>
      <c r="O100" s="31">
        <v>0.86281079201104682</v>
      </c>
      <c r="P100" s="31">
        <v>0.81243672106092668</v>
      </c>
      <c r="Q100" s="31">
        <v>0.76362936091596356</v>
      </c>
      <c r="R100" s="32">
        <v>0.71974400694723784</v>
      </c>
    </row>
    <row r="101" spans="1:18" x14ac:dyDescent="0.25">
      <c r="A101" s="30">
        <v>416</v>
      </c>
      <c r="B101" s="31">
        <v>11.60981974260925</v>
      </c>
      <c r="C101" s="31">
        <v>8.9888400116381959</v>
      </c>
      <c r="D101" s="31">
        <v>6.8939743789826897</v>
      </c>
      <c r="E101" s="31">
        <v>5.2479433960369501</v>
      </c>
      <c r="F101" s="31">
        <v>3.979622803176694</v>
      </c>
      <c r="G101" s="31">
        <v>3.0240435297591679</v>
      </c>
      <c r="H101" s="31">
        <v>2.3223916941231328</v>
      </c>
      <c r="I101" s="31">
        <v>1.8220086035888601</v>
      </c>
      <c r="J101" s="31">
        <v>1.4763907544581409</v>
      </c>
      <c r="K101" s="31">
        <v>1.2451898320142729</v>
      </c>
      <c r="L101" s="31">
        <v>1.0942127105221029</v>
      </c>
      <c r="M101" s="31">
        <v>0.99542145322793218</v>
      </c>
      <c r="N101" s="31">
        <v>0.92693331235963694</v>
      </c>
      <c r="O101" s="31">
        <v>0.87302072912658346</v>
      </c>
      <c r="P101" s="31">
        <v>0.82411133371964229</v>
      </c>
      <c r="Q101" s="31">
        <v>0.77678794531121997</v>
      </c>
      <c r="R101" s="32">
        <v>0.7337885720552465</v>
      </c>
    </row>
    <row r="102" spans="1:18" x14ac:dyDescent="0.25">
      <c r="A102" s="30">
        <v>432</v>
      </c>
      <c r="B102" s="31">
        <v>11.88883536931027</v>
      </c>
      <c r="C102" s="31">
        <v>9.212161823395288</v>
      </c>
      <c r="D102" s="31">
        <v>7.0697020074189734</v>
      </c>
      <c r="E102" s="31">
        <v>5.3835591855583624</v>
      </c>
      <c r="F102" s="31">
        <v>4.0819918109719806</v>
      </c>
      <c r="G102" s="31">
        <v>3.0994135257998798</v>
      </c>
      <c r="H102" s="31">
        <v>2.3763931611636342</v>
      </c>
      <c r="I102" s="31">
        <v>1.859654737166313</v>
      </c>
      <c r="J102" s="31">
        <v>1.502077462892516</v>
      </c>
      <c r="K102" s="31">
        <v>1.2626957364083691</v>
      </c>
      <c r="L102" s="31">
        <v>1.1066991447615051</v>
      </c>
      <c r="M102" s="31">
        <v>1.0054324639810479</v>
      </c>
      <c r="N102" s="31">
        <v>0.93639565907767508</v>
      </c>
      <c r="O102" s="31">
        <v>0.88324388404357634</v>
      </c>
      <c r="P102" s="31">
        <v>0.8357874818523926</v>
      </c>
      <c r="Q102" s="31">
        <v>0.78999198445939789</v>
      </c>
      <c r="R102" s="32">
        <v>0.74797811280124904</v>
      </c>
    </row>
    <row r="103" spans="1:18" x14ac:dyDescent="0.25">
      <c r="A103" s="30">
        <v>448</v>
      </c>
      <c r="B103" s="31">
        <v>12.17309294453748</v>
      </c>
      <c r="C103" s="31">
        <v>9.4399898306819079</v>
      </c>
      <c r="D103" s="31">
        <v>7.2492556799943806</v>
      </c>
      <c r="E103" s="31">
        <v>5.5223764694347466</v>
      </c>
      <c r="F103" s="31">
        <v>4.1869933649443434</v>
      </c>
      <c r="G103" s="31">
        <v>3.1769027214460248</v>
      </c>
      <c r="H103" s="31">
        <v>2.4320560828441748</v>
      </c>
      <c r="I103" s="31">
        <v>1.89856018202468</v>
      </c>
      <c r="J103" s="31">
        <v>1.5286769408549421</v>
      </c>
      <c r="K103" s="31">
        <v>1.2808234701838921</v>
      </c>
      <c r="L103" s="31">
        <v>1.1195720698419649</v>
      </c>
      <c r="M103" s="31">
        <v>1.015650228641116</v>
      </c>
      <c r="N103" s="31">
        <v>0.94594062437480642</v>
      </c>
      <c r="O103" s="31">
        <v>0.89348112381805933</v>
      </c>
      <c r="P103" s="31">
        <v>0.84746478272728576</v>
      </c>
      <c r="Q103" s="31">
        <v>0.80323984584063579</v>
      </c>
      <c r="R103" s="32">
        <v>0.76230974687751285</v>
      </c>
    </row>
    <row r="104" spans="1:18" x14ac:dyDescent="0.25">
      <c r="A104" s="30">
        <v>464</v>
      </c>
      <c r="B104" s="31">
        <v>12.462609637266381</v>
      </c>
      <c r="C104" s="31">
        <v>9.6723399526856095</v>
      </c>
      <c r="D104" s="31">
        <v>7.4326500661085291</v>
      </c>
      <c r="E104" s="31">
        <v>5.6644086672777796</v>
      </c>
      <c r="F104" s="31">
        <v>4.2946396349175124</v>
      </c>
      <c r="G104" s="31">
        <v>3.256522036733394</v>
      </c>
      <c r="H104" s="31">
        <v>2.4893901294126151</v>
      </c>
      <c r="I104" s="31">
        <v>1.938733358623866</v>
      </c>
      <c r="J104" s="31">
        <v>1.5561963590173671</v>
      </c>
      <c r="K104" s="31">
        <v>1.2995789542248579</v>
      </c>
      <c r="L104" s="31">
        <v>1.132836156859572</v>
      </c>
      <c r="M104" s="31">
        <v>1.026078168516265</v>
      </c>
      <c r="N104" s="31">
        <v>0.95557037977123815</v>
      </c>
      <c r="O104" s="31">
        <v>0.90373337018226985</v>
      </c>
      <c r="P104" s="31">
        <v>0.85914290828865336</v>
      </c>
      <c r="Q104" s="31">
        <v>0.8165299516112865</v>
      </c>
      <c r="R104" s="32">
        <v>0.77678064665239777</v>
      </c>
    </row>
    <row r="105" spans="1:18" x14ac:dyDescent="0.25">
      <c r="A105" s="30">
        <v>480</v>
      </c>
      <c r="B105" s="31">
        <v>12.757402671148681</v>
      </c>
      <c r="C105" s="31">
        <v>9.9092281632701642</v>
      </c>
      <c r="D105" s="31">
        <v>7.6198998898372334</v>
      </c>
      <c r="E105" s="31">
        <v>5.8096692533753327</v>
      </c>
      <c r="F105" s="31">
        <v>4.4049428453914201</v>
      </c>
      <c r="G105" s="31">
        <v>3.3382824463739769</v>
      </c>
      <c r="H105" s="31">
        <v>2.5484050257929982</v>
      </c>
      <c r="I105" s="31">
        <v>1.980182742099982</v>
      </c>
      <c r="J105" s="31">
        <v>1.5846429427279589</v>
      </c>
      <c r="K105" s="31">
        <v>1.3189681640914761</v>
      </c>
      <c r="L105" s="31">
        <v>1.146496131586568</v>
      </c>
      <c r="M105" s="31">
        <v>1.036719759590828</v>
      </c>
      <c r="N105" s="31">
        <v>0.96528715146333244</v>
      </c>
      <c r="O105" s="31">
        <v>0.91400159954471139</v>
      </c>
      <c r="P105" s="31">
        <v>0.87082158515701003</v>
      </c>
      <c r="Q105" s="31">
        <v>0.82986077860395091</v>
      </c>
      <c r="R105" s="32">
        <v>0.79138803917059874</v>
      </c>
    </row>
    <row r="106" spans="1:18" x14ac:dyDescent="0.25">
      <c r="A106" s="30">
        <v>496</v>
      </c>
      <c r="B106" s="31">
        <v>13.057489324512259</v>
      </c>
      <c r="C106" s="31">
        <v>10.15067049097552</v>
      </c>
      <c r="D106" s="31">
        <v>7.8110199299324989</v>
      </c>
      <c r="E106" s="31">
        <v>5.9581717566914696</v>
      </c>
      <c r="F106" s="31">
        <v>4.5179152755421939</v>
      </c>
      <c r="G106" s="31">
        <v>3.4221949797559539</v>
      </c>
      <c r="H106" s="31">
        <v>2.609110551585565</v>
      </c>
      <c r="I106" s="31">
        <v>2.022916862265328</v>
      </c>
      <c r="J106" s="31">
        <v>1.6140239720110801</v>
      </c>
      <c r="K106" s="31">
        <v>1.338997130020178</v>
      </c>
      <c r="L106" s="31">
        <v>1.160556774471484</v>
      </c>
      <c r="M106" s="31">
        <v>1.047578532525359</v>
      </c>
      <c r="N106" s="31">
        <v>0.97509322032372137</v>
      </c>
      <c r="O106" s="31">
        <v>0.92428684298998243</v>
      </c>
      <c r="P106" s="31">
        <v>0.88250059462902197</v>
      </c>
      <c r="Q106" s="31">
        <v>0.84323085832736666</v>
      </c>
      <c r="R106" s="32">
        <v>0.80612920615288886</v>
      </c>
    </row>
    <row r="107" spans="1:18" x14ac:dyDescent="0.25">
      <c r="A107" s="30">
        <v>512</v>
      </c>
      <c r="B107" s="31">
        <v>13.36288693036126</v>
      </c>
      <c r="C107" s="31">
        <v>10.39668301901785</v>
      </c>
      <c r="D107" s="31">
        <v>8.0060250198225642</v>
      </c>
      <c r="E107" s="31">
        <v>6.1099297608664846</v>
      </c>
      <c r="F107" s="31">
        <v>4.6335692592221793</v>
      </c>
      <c r="G107" s="31">
        <v>3.5082707209437358</v>
      </c>
      <c r="H107" s="31">
        <v>2.671516541066778</v>
      </c>
      <c r="I107" s="31">
        <v>2.0669443036084192</v>
      </c>
      <c r="J107" s="31">
        <v>1.644346781567305</v>
      </c>
      <c r="K107" s="31">
        <v>1.359671936923593</v>
      </c>
      <c r="L107" s="31">
        <v>1.1750229206389611</v>
      </c>
      <c r="M107" s="31">
        <v>1.058658072656588</v>
      </c>
      <c r="N107" s="31">
        <v>0.98499092190118087</v>
      </c>
      <c r="O107" s="31">
        <v>0.93459018627897106</v>
      </c>
      <c r="P107" s="31">
        <v>0.89417977267763848</v>
      </c>
      <c r="Q107" s="31">
        <v>0.85663877696654822</v>
      </c>
      <c r="R107" s="32">
        <v>0.82100148399635475</v>
      </c>
    </row>
    <row r="108" spans="1:18" x14ac:dyDescent="0.25">
      <c r="A108" s="30">
        <v>528</v>
      </c>
      <c r="B108" s="31">
        <v>13.673612876375961</v>
      </c>
      <c r="C108" s="31">
        <v>10.647281885289511</v>
      </c>
      <c r="D108" s="31">
        <v>8.2049300476118461</v>
      </c>
      <c r="E108" s="31">
        <v>6.2649569042168514</v>
      </c>
      <c r="F108" s="31">
        <v>4.7519171849599049</v>
      </c>
      <c r="G108" s="31">
        <v>3.596520808677913</v>
      </c>
      <c r="H108" s="31">
        <v>2.735632883189286</v>
      </c>
      <c r="I108" s="31">
        <v>2.1122737052939642</v>
      </c>
      <c r="J108" s="31">
        <v>1.675618760773401</v>
      </c>
      <c r="K108" s="31">
        <v>1.380998724390553</v>
      </c>
      <c r="L108" s="31">
        <v>1.189899459889908</v>
      </c>
      <c r="M108" s="31">
        <v>1.069962019997464</v>
      </c>
      <c r="N108" s="31">
        <v>0.99498264642071654</v>
      </c>
      <c r="O108" s="31">
        <v>0.94491276984872397</v>
      </c>
      <c r="P108" s="31">
        <v>0.90585900995199276</v>
      </c>
      <c r="Q108" s="31">
        <v>0.87008317538263191</v>
      </c>
      <c r="R108" s="32">
        <v>0.83600226377415487</v>
      </c>
    </row>
    <row r="109" spans="1:18" x14ac:dyDescent="0.25">
      <c r="A109" s="30">
        <v>544</v>
      </c>
      <c r="B109" s="31">
        <v>13.98968460491287</v>
      </c>
      <c r="C109" s="31">
        <v>10.902483282359061</v>
      </c>
      <c r="D109" s="31">
        <v>8.407749956080961</v>
      </c>
      <c r="E109" s="31">
        <v>6.4232668797352481</v>
      </c>
      <c r="F109" s="31">
        <v>4.8729714959601136</v>
      </c>
      <c r="G109" s="31">
        <v>3.6869564363752678</v>
      </c>
      <c r="H109" s="31">
        <v>2.8014695215819421</v>
      </c>
      <c r="I109" s="31">
        <v>2.1589137611628781</v>
      </c>
      <c r="J109" s="31">
        <v>1.707847353682324</v>
      </c>
      <c r="K109" s="31">
        <v>1.402983686686073</v>
      </c>
      <c r="L109" s="31">
        <v>1.205191336701404</v>
      </c>
      <c r="M109" s="31">
        <v>1.081494069237112</v>
      </c>
      <c r="N109" s="31">
        <v>1.005070838783539</v>
      </c>
      <c r="O109" s="31">
        <v>0.9552557888125115</v>
      </c>
      <c r="P109" s="31">
        <v>0.91753825177737247</v>
      </c>
      <c r="Q109" s="31">
        <v>0.88356274911299659</v>
      </c>
      <c r="R109" s="32">
        <v>0.85112899123579655</v>
      </c>
    </row>
    <row r="110" spans="1:18" x14ac:dyDescent="0.25">
      <c r="A110" s="30">
        <v>560</v>
      </c>
      <c r="B110" s="31">
        <v>14.311119613004699</v>
      </c>
      <c r="C110" s="31">
        <v>11.162303457471291</v>
      </c>
      <c r="D110" s="31">
        <v>8.6144997426867409</v>
      </c>
      <c r="E110" s="31">
        <v>6.5848734350905609</v>
      </c>
      <c r="F110" s="31">
        <v>4.9967446901037462</v>
      </c>
      <c r="G110" s="31">
        <v>3.7795888521288141</v>
      </c>
      <c r="H110" s="31">
        <v>2.8690364545498062</v>
      </c>
      <c r="I110" s="31">
        <v>2.2068732197322691</v>
      </c>
      <c r="J110" s="31">
        <v>1.7410400590232631</v>
      </c>
      <c r="K110" s="31">
        <v>1.4256330727513871</v>
      </c>
      <c r="L110" s="31">
        <v>1.220903550226724</v>
      </c>
      <c r="M110" s="31">
        <v>1.0932579697409079</v>
      </c>
      <c r="N110" s="31">
        <v>1.0152579985670349</v>
      </c>
      <c r="O110" s="31">
        <v>0.96562049295978303</v>
      </c>
      <c r="P110" s="31">
        <v>0.9292174981552892</v>
      </c>
      <c r="Q110" s="31">
        <v>0.8970762483712631</v>
      </c>
      <c r="R110" s="32">
        <v>0.86637916680685823</v>
      </c>
    </row>
    <row r="111" spans="1:18" x14ac:dyDescent="0.25">
      <c r="A111" s="30">
        <v>576</v>
      </c>
      <c r="B111" s="31">
        <v>14.63793545236037</v>
      </c>
      <c r="C111" s="31">
        <v>11.426758712547141</v>
      </c>
      <c r="D111" s="31">
        <v>8.8251944595622156</v>
      </c>
      <c r="E111" s="31">
        <v>6.7497903726278778</v>
      </c>
      <c r="F111" s="31">
        <v>5.1232493199479476</v>
      </c>
      <c r="G111" s="31">
        <v>3.8744293587077521</v>
      </c>
      <c r="H111" s="31">
        <v>2.9383437350741342</v>
      </c>
      <c r="I111" s="31">
        <v>2.2561608841954568</v>
      </c>
      <c r="J111" s="31">
        <v>1.775204430201597</v>
      </c>
      <c r="K111" s="31">
        <v>1.4489531862039351</v>
      </c>
      <c r="L111" s="31">
        <v>1.2370411542953921</v>
      </c>
      <c r="M111" s="31">
        <v>1.1052575255503749</v>
      </c>
      <c r="N111" s="31">
        <v>1.025546680024839</v>
      </c>
      <c r="O111" s="31">
        <v>0.97600818675623546</v>
      </c>
      <c r="P111" s="31">
        <v>0.94089680376351459</v>
      </c>
      <c r="Q111" s="31">
        <v>0.91062247804718754</v>
      </c>
      <c r="R111" s="32">
        <v>0.88175034558920362</v>
      </c>
    </row>
    <row r="112" spans="1:18" x14ac:dyDescent="0.25">
      <c r="A112" s="30">
        <v>592</v>
      </c>
      <c r="B112" s="31">
        <v>14.970149729365</v>
      </c>
      <c r="C112" s="31">
        <v>11.69586540418382</v>
      </c>
      <c r="D112" s="31">
        <v>9.0398492135166126</v>
      </c>
      <c r="E112" s="31">
        <v>6.9180315493684903</v>
      </c>
      <c r="F112" s="31">
        <v>5.2524979927260702</v>
      </c>
      <c r="G112" s="31">
        <v>3.971489313557488</v>
      </c>
      <c r="H112" s="31">
        <v>3.0094014708124019</v>
      </c>
      <c r="I112" s="31">
        <v>2.3067856124219812</v>
      </c>
      <c r="J112" s="31">
        <v>1.810348075298901</v>
      </c>
      <c r="K112" s="31">
        <v>1.472950385337358</v>
      </c>
      <c r="L112" s="31">
        <v>1.2536092574130879</v>
      </c>
      <c r="M112" s="31">
        <v>1.117496595383292</v>
      </c>
      <c r="N112" s="31">
        <v>1.0359394920867531</v>
      </c>
      <c r="O112" s="31">
        <v>0.98642022934372209</v>
      </c>
      <c r="P112" s="31">
        <v>0.95257627795592748</v>
      </c>
      <c r="Q112" s="31">
        <v>0.9242002977067475</v>
      </c>
      <c r="R112" s="32">
        <v>0.89724013736089647</v>
      </c>
    </row>
    <row r="113" spans="1:18" x14ac:dyDescent="0.25">
      <c r="A113" s="30">
        <v>608</v>
      </c>
      <c r="B113" s="31">
        <v>15.307780105079891</v>
      </c>
      <c r="C113" s="31">
        <v>11.96963994365467</v>
      </c>
      <c r="D113" s="31">
        <v>9.2584791660353609</v>
      </c>
      <c r="E113" s="31">
        <v>7.0896108770098776</v>
      </c>
      <c r="F113" s="31">
        <v>5.3845033703476517</v>
      </c>
      <c r="G113" s="31">
        <v>4.0707801287996244</v>
      </c>
      <c r="H113" s="31">
        <v>3.0822198240982628</v>
      </c>
      <c r="I113" s="31">
        <v>2.3587563169575372</v>
      </c>
      <c r="J113" s="31">
        <v>1.8464786570729359</v>
      </c>
      <c r="K113" s="31">
        <v>1.497631083121481</v>
      </c>
      <c r="L113" s="31">
        <v>1.270613022761689</v>
      </c>
      <c r="M113" s="31">
        <v>1.1299790926335931</v>
      </c>
      <c r="N113" s="31">
        <v>1.0464390983587579</v>
      </c>
      <c r="O113" s="31">
        <v>0.99685803454027433</v>
      </c>
      <c r="P113" s="31">
        <v>0.96425608476266</v>
      </c>
      <c r="Q113" s="31">
        <v>0.93780862159213285</v>
      </c>
      <c r="R113" s="32">
        <v>0.91284620657617666</v>
      </c>
    </row>
    <row r="114" spans="1:18" x14ac:dyDescent="0.25">
      <c r="A114" s="30">
        <v>624</v>
      </c>
      <c r="B114" s="31">
        <v>15.650844295242569</v>
      </c>
      <c r="C114" s="31">
        <v>12.248098796909289</v>
      </c>
      <c r="D114" s="31">
        <v>9.4810995332801031</v>
      </c>
      <c r="E114" s="31">
        <v>7.2645423219257497</v>
      </c>
      <c r="F114" s="31">
        <v>5.5192781693984552</v>
      </c>
      <c r="G114" s="31">
        <v>4.1723132712319702</v>
      </c>
      <c r="H114" s="31">
        <v>3.1568090119415828</v>
      </c>
      <c r="I114" s="31">
        <v>2.412081965024059</v>
      </c>
      <c r="J114" s="31">
        <v>1.8836038929577079</v>
      </c>
      <c r="K114" s="31">
        <v>1.523001747202352</v>
      </c>
      <c r="L114" s="31">
        <v>1.2880576681993241</v>
      </c>
      <c r="M114" s="31">
        <v>1.1427089853714441</v>
      </c>
      <c r="N114" s="31">
        <v>1.057048217123103</v>
      </c>
      <c r="O114" s="31">
        <v>1.007323070840205</v>
      </c>
      <c r="P114" s="31">
        <v>0.97593644289006687</v>
      </c>
      <c r="Q114" s="31">
        <v>0.95144641862169976</v>
      </c>
      <c r="R114" s="32">
        <v>0.92856627236543687</v>
      </c>
    </row>
    <row r="115" spans="1:18" x14ac:dyDescent="0.25">
      <c r="A115" s="33">
        <v>640</v>
      </c>
      <c r="B115" s="34">
        <v>15.999360070266761</v>
      </c>
      <c r="C115" s="34">
        <v>12.53125848457344</v>
      </c>
      <c r="D115" s="34">
        <v>9.7077255860886709</v>
      </c>
      <c r="E115" s="34">
        <v>7.4428399051659868</v>
      </c>
      <c r="F115" s="34">
        <v>5.656835161140422</v>
      </c>
      <c r="G115" s="34">
        <v>4.2761002623285442</v>
      </c>
      <c r="H115" s="34">
        <v>3.2331793060284362</v>
      </c>
      <c r="I115" s="34">
        <v>2.4667715785196762</v>
      </c>
      <c r="J115" s="34">
        <v>1.9217315550633931</v>
      </c>
      <c r="K115" s="34">
        <v>1.5490688999022191</v>
      </c>
      <c r="L115" s="34">
        <v>1.3059484662602689</v>
      </c>
      <c r="M115" s="34">
        <v>1.155690296343199</v>
      </c>
      <c r="N115" s="34">
        <v>1.067769621338218</v>
      </c>
      <c r="O115" s="34">
        <v>1.01781686141398</v>
      </c>
      <c r="P115" s="34">
        <v>0.98761762572068823</v>
      </c>
      <c r="Q115" s="34">
        <v>0.96511271239009466</v>
      </c>
      <c r="R115" s="35">
        <v>0.94439810853539541</v>
      </c>
    </row>
    <row r="118" spans="1:18" ht="28.9" customHeight="1" x14ac:dyDescent="0.5">
      <c r="A118" s="1" t="s">
        <v>30</v>
      </c>
    </row>
    <row r="119" spans="1:18" ht="32.1" customHeight="1" x14ac:dyDescent="0.25"/>
    <row r="120" spans="1:18" x14ac:dyDescent="0.25">
      <c r="A120" s="2"/>
      <c r="B120" s="3"/>
      <c r="C120" s="3"/>
      <c r="D120" s="4"/>
    </row>
    <row r="121" spans="1:18" x14ac:dyDescent="0.25">
      <c r="A121" s="5" t="s">
        <v>31</v>
      </c>
      <c r="B121" s="6">
        <v>3.5</v>
      </c>
      <c r="C121" s="6" t="s">
        <v>11</v>
      </c>
      <c r="D121" s="7"/>
    </row>
    <row r="122" spans="1:18" x14ac:dyDescent="0.25">
      <c r="A122" s="8"/>
      <c r="B122" s="9"/>
      <c r="C122" s="9"/>
      <c r="D122" s="10"/>
    </row>
    <row r="125" spans="1:18" ht="48" customHeight="1" x14ac:dyDescent="0.25">
      <c r="A125" s="21" t="s">
        <v>32</v>
      </c>
      <c r="B125" s="23" t="s">
        <v>33</v>
      </c>
    </row>
    <row r="126" spans="1:18" x14ac:dyDescent="0.25">
      <c r="A126" s="5">
        <v>0</v>
      </c>
      <c r="B126" s="32">
        <v>0.22</v>
      </c>
    </row>
    <row r="127" spans="1:18" x14ac:dyDescent="0.25">
      <c r="A127" s="5">
        <v>0.125</v>
      </c>
      <c r="B127" s="32">
        <v>0.23302500000000001</v>
      </c>
    </row>
    <row r="128" spans="1:18" x14ac:dyDescent="0.25">
      <c r="A128" s="5">
        <v>0.25</v>
      </c>
      <c r="B128" s="32">
        <v>0.16002777777777791</v>
      </c>
    </row>
    <row r="129" spans="1:2" x14ac:dyDescent="0.25">
      <c r="A129" s="5">
        <v>0.375</v>
      </c>
      <c r="B129" s="32">
        <v>6.0026785714285547E-2</v>
      </c>
    </row>
    <row r="130" spans="1:2" x14ac:dyDescent="0.25">
      <c r="A130" s="5">
        <v>0.5</v>
      </c>
      <c r="B130" s="32">
        <v>5.0100000000000033E-2</v>
      </c>
    </row>
    <row r="131" spans="1:2" x14ac:dyDescent="0.25">
      <c r="A131" s="5">
        <v>0.625</v>
      </c>
      <c r="B131" s="32">
        <v>2.4293333333333281E-2</v>
      </c>
    </row>
    <row r="132" spans="1:2" x14ac:dyDescent="0.25">
      <c r="A132" s="5">
        <v>0.75</v>
      </c>
      <c r="B132" s="32">
        <v>-1.154166666666656E-2</v>
      </c>
    </row>
    <row r="133" spans="1:2" x14ac:dyDescent="0.25">
      <c r="A133" s="5">
        <v>0.875</v>
      </c>
      <c r="B133" s="32">
        <v>-2.7189393939393899E-2</v>
      </c>
    </row>
    <row r="134" spans="1:2" x14ac:dyDescent="0.25">
      <c r="A134" s="5">
        <v>1</v>
      </c>
      <c r="B134" s="32">
        <v>-3.7659574468084989E-2</v>
      </c>
    </row>
    <row r="135" spans="1:2" x14ac:dyDescent="0.25">
      <c r="A135" s="5">
        <v>1.125</v>
      </c>
      <c r="B135" s="32">
        <v>-3.9202127659574537E-2</v>
      </c>
    </row>
    <row r="136" spans="1:2" x14ac:dyDescent="0.25">
      <c r="A136" s="5">
        <v>1.25</v>
      </c>
      <c r="B136" s="32">
        <v>-3.9021739130434829E-2</v>
      </c>
    </row>
    <row r="137" spans="1:2" x14ac:dyDescent="0.25">
      <c r="A137" s="5">
        <v>1.375</v>
      </c>
      <c r="B137" s="32">
        <v>-3.7880434782608829E-2</v>
      </c>
    </row>
    <row r="138" spans="1:2" x14ac:dyDescent="0.25">
      <c r="A138" s="5">
        <v>1.5</v>
      </c>
      <c r="B138" s="32">
        <v>-3.5227272727272878E-2</v>
      </c>
    </row>
    <row r="139" spans="1:2" x14ac:dyDescent="0.25">
      <c r="A139" s="5">
        <v>1.625</v>
      </c>
      <c r="B139" s="32">
        <v>-2.835227272727282E-2</v>
      </c>
    </row>
    <row r="140" spans="1:2" x14ac:dyDescent="0.25">
      <c r="A140" s="5">
        <v>1.75</v>
      </c>
      <c r="B140" s="32">
        <v>-2.1477272727272959E-2</v>
      </c>
    </row>
    <row r="141" spans="1:2" x14ac:dyDescent="0.25">
      <c r="A141" s="5">
        <v>1.875</v>
      </c>
      <c r="B141" s="32">
        <v>-1.4602272727272891E-2</v>
      </c>
    </row>
    <row r="142" spans="1:2" x14ac:dyDescent="0.25">
      <c r="A142" s="5">
        <v>2</v>
      </c>
      <c r="B142" s="32">
        <v>-9.5143487858722064E-3</v>
      </c>
    </row>
    <row r="143" spans="1:2" x14ac:dyDescent="0.25">
      <c r="A143" s="5">
        <v>2.125</v>
      </c>
      <c r="B143" s="32">
        <v>-6.4238410596029194E-3</v>
      </c>
    </row>
    <row r="144" spans="1:2" x14ac:dyDescent="0.25">
      <c r="A144" s="5">
        <v>2.25</v>
      </c>
      <c r="B144" s="32">
        <v>-3.3333333333336319E-3</v>
      </c>
    </row>
    <row r="145" spans="1:2" x14ac:dyDescent="0.25">
      <c r="A145" s="5">
        <v>2.375</v>
      </c>
      <c r="B145" s="32">
        <v>-2.4282560706434531E-4</v>
      </c>
    </row>
    <row r="146" spans="1:2" x14ac:dyDescent="0.25">
      <c r="A146" s="5">
        <v>2.5</v>
      </c>
      <c r="B146" s="32">
        <v>2.8476821192049422E-3</v>
      </c>
    </row>
    <row r="147" spans="1:2" x14ac:dyDescent="0.25">
      <c r="A147" s="5">
        <v>2.625</v>
      </c>
      <c r="B147" s="32">
        <v>5.9381898454742288E-3</v>
      </c>
    </row>
    <row r="148" spans="1:2" x14ac:dyDescent="0.25">
      <c r="A148" s="5">
        <v>2.75</v>
      </c>
      <c r="B148" s="32">
        <v>9.0286975717435158E-3</v>
      </c>
    </row>
    <row r="149" spans="1:2" x14ac:dyDescent="0.25">
      <c r="A149" s="5">
        <v>2.875</v>
      </c>
      <c r="B149" s="32">
        <v>1.211920529801302E-2</v>
      </c>
    </row>
    <row r="150" spans="1:2" x14ac:dyDescent="0.25">
      <c r="A150" s="5">
        <v>3</v>
      </c>
      <c r="B150" s="32">
        <v>1.195329087048802E-2</v>
      </c>
    </row>
    <row r="151" spans="1:2" x14ac:dyDescent="0.25">
      <c r="A151" s="5">
        <v>3.125</v>
      </c>
      <c r="B151" s="32">
        <v>1.0148619957537131E-2</v>
      </c>
    </row>
    <row r="152" spans="1:2" x14ac:dyDescent="0.25">
      <c r="A152" s="5">
        <v>3.25</v>
      </c>
      <c r="B152" s="32">
        <v>8.3439490445853526E-3</v>
      </c>
    </row>
    <row r="153" spans="1:2" x14ac:dyDescent="0.25">
      <c r="A153" s="5">
        <v>3.375</v>
      </c>
      <c r="B153" s="32">
        <v>6.5392781316344628E-3</v>
      </c>
    </row>
    <row r="154" spans="1:2" x14ac:dyDescent="0.25">
      <c r="A154" s="5">
        <v>3.5</v>
      </c>
      <c r="B154" s="32">
        <v>0</v>
      </c>
    </row>
    <row r="155" spans="1:2" x14ac:dyDescent="0.25">
      <c r="A155" s="5">
        <v>3.625</v>
      </c>
      <c r="B155" s="32">
        <v>0</v>
      </c>
    </row>
    <row r="156" spans="1:2" x14ac:dyDescent="0.25">
      <c r="A156" s="5">
        <v>3.75</v>
      </c>
      <c r="B156" s="32">
        <v>0</v>
      </c>
    </row>
    <row r="157" spans="1:2" x14ac:dyDescent="0.25">
      <c r="A157" s="5">
        <v>3.875</v>
      </c>
      <c r="B157" s="32">
        <v>0</v>
      </c>
    </row>
    <row r="158" spans="1:2" x14ac:dyDescent="0.25">
      <c r="A158" s="8">
        <v>4</v>
      </c>
      <c r="B158" s="35">
        <v>0</v>
      </c>
    </row>
  </sheetData>
  <sheetProtection algorithmName="SHA-512" hashValue="NU2iKpQrggwJx1Ek4ZCF4OGRHm4vdA3PSTgcnqze9irFZQARy8sOkg5WdJFNGjSJW9/OSoMaMV7ML/AuV0QM4g==" saltValue="jzy2GQ2QobnmuDYpw50v9w==" spinCount="100000" sheet="1" objects="1" scenarios="1"/>
  <protectedRanges>
    <protectedRange sqref="B36" name="Range1"/>
  </protectedRange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5:R158"/>
  <sheetViews>
    <sheetView workbookViewId="0">
      <selection activeCell="B36" sqref="B36"/>
    </sheetView>
  </sheetViews>
  <sheetFormatPr defaultRowHeight="15" x14ac:dyDescent="0.25"/>
  <cols>
    <col min="1" max="1" width="30.7109375" customWidth="1"/>
  </cols>
  <sheetData>
    <row r="15" spans="1:4" ht="28.9" customHeight="1" x14ac:dyDescent="0.5">
      <c r="A15" s="1" t="s">
        <v>40</v>
      </c>
      <c r="B15" s="1"/>
    </row>
    <row r="16" spans="1:4" x14ac:dyDescent="0.25">
      <c r="A16" s="2"/>
      <c r="B16" s="3"/>
      <c r="C16" s="3"/>
      <c r="D16" s="4"/>
    </row>
    <row r="17" spans="1:4" x14ac:dyDescent="0.25">
      <c r="A17" s="5" t="s">
        <v>1</v>
      </c>
      <c r="B17" s="6" t="s">
        <v>43</v>
      </c>
      <c r="C17" s="6"/>
      <c r="D17" s="7"/>
    </row>
    <row r="18" spans="1:4" x14ac:dyDescent="0.25">
      <c r="A18" s="5" t="s">
        <v>2</v>
      </c>
      <c r="B18" s="6" t="s">
        <v>3</v>
      </c>
      <c r="C18" s="6"/>
      <c r="D18" s="7"/>
    </row>
    <row r="19" spans="1:4" x14ac:dyDescent="0.25">
      <c r="A19" s="5" t="s">
        <v>4</v>
      </c>
      <c r="B19" s="6" t="s">
        <v>5</v>
      </c>
      <c r="C19" s="6"/>
      <c r="D19" s="7"/>
    </row>
    <row r="20" spans="1:4" x14ac:dyDescent="0.25">
      <c r="A20" s="8"/>
      <c r="B20" s="9"/>
      <c r="C20" s="9"/>
      <c r="D20" s="10"/>
    </row>
    <row r="22" spans="1:4" x14ac:dyDescent="0.25">
      <c r="A22" s="2"/>
      <c r="B22" s="11"/>
      <c r="C22" s="11"/>
      <c r="D22" s="12"/>
    </row>
    <row r="23" spans="1:4" x14ac:dyDescent="0.25">
      <c r="A23" s="5" t="s">
        <v>6</v>
      </c>
      <c r="B23" s="13">
        <v>300</v>
      </c>
      <c r="C23" s="13" t="s">
        <v>7</v>
      </c>
      <c r="D23" s="14"/>
    </row>
    <row r="24" spans="1:4" x14ac:dyDescent="0.25">
      <c r="A24" s="5" t="s">
        <v>8</v>
      </c>
      <c r="B24" s="13">
        <v>14</v>
      </c>
      <c r="C24" s="13" t="s">
        <v>9</v>
      </c>
      <c r="D24" s="14"/>
    </row>
    <row r="25" spans="1:4" x14ac:dyDescent="0.25">
      <c r="A25" s="8"/>
      <c r="B25" s="15"/>
      <c r="C25" s="15"/>
      <c r="D25" s="16"/>
    </row>
    <row r="29" spans="1:4" x14ac:dyDescent="0.25">
      <c r="A29" s="2"/>
      <c r="B29" s="3"/>
      <c r="C29" s="3"/>
      <c r="D29" s="4"/>
    </row>
    <row r="30" spans="1:4" x14ac:dyDescent="0.25">
      <c r="A30" s="5" t="s">
        <v>10</v>
      </c>
      <c r="B30" s="6">
        <v>0.31000000000000011</v>
      </c>
      <c r="C30" s="6" t="s">
        <v>11</v>
      </c>
      <c r="D30" s="7"/>
    </row>
    <row r="31" spans="1:4" x14ac:dyDescent="0.25">
      <c r="A31" s="8"/>
      <c r="B31" s="9"/>
      <c r="C31" s="9"/>
      <c r="D31" s="10"/>
    </row>
    <row r="34" spans="1:5" ht="28.9" customHeight="1" x14ac:dyDescent="0.5">
      <c r="A34" s="1" t="s">
        <v>12</v>
      </c>
    </row>
    <row r="36" spans="1:5" x14ac:dyDescent="0.25">
      <c r="A36" s="17" t="s">
        <v>13</v>
      </c>
      <c r="B36" s="17">
        <v>100</v>
      </c>
      <c r="C36" s="17" t="s">
        <v>14</v>
      </c>
      <c r="D36" s="17" t="s">
        <v>15</v>
      </c>
      <c r="E36" s="17"/>
    </row>
    <row r="37" spans="1:5" hidden="1" x14ac:dyDescent="0.25">
      <c r="A37" s="17" t="s">
        <v>16</v>
      </c>
      <c r="B37" s="17">
        <v>14.7</v>
      </c>
      <c r="C37" s="17"/>
      <c r="D37" s="17" t="s">
        <v>15</v>
      </c>
      <c r="E37" s="17"/>
    </row>
    <row r="38" spans="1:5" hidden="1" x14ac:dyDescent="0.25">
      <c r="A38" s="17" t="s">
        <v>17</v>
      </c>
      <c r="B38" s="17">
        <v>9.0079999999999991</v>
      </c>
      <c r="C38" s="17"/>
      <c r="D38" s="17" t="s">
        <v>15</v>
      </c>
      <c r="E38" s="17"/>
    </row>
    <row r="40" spans="1:5" ht="48" customHeight="1" x14ac:dyDescent="0.25">
      <c r="A40" s="18" t="s">
        <v>39</v>
      </c>
      <c r="B40" s="19" t="s">
        <v>19</v>
      </c>
      <c r="C40" s="19" t="s">
        <v>20</v>
      </c>
      <c r="D40" s="19" t="s">
        <v>21</v>
      </c>
      <c r="E40" s="20" t="s">
        <v>22</v>
      </c>
    </row>
    <row r="41" spans="1:5" x14ac:dyDescent="0.25">
      <c r="A41" s="5">
        <v>128</v>
      </c>
      <c r="B41" s="6">
        <v>43.44801941145662</v>
      </c>
      <c r="C41" s="6">
        <f>43.4480194114566 * $B$36 / 100</f>
        <v>43.448019411456599</v>
      </c>
      <c r="D41" s="6">
        <v>5.474353894689286</v>
      </c>
      <c r="E41" s="7">
        <f>5.47435389468928 * $B$36 / 100</f>
        <v>5.4743538946892798</v>
      </c>
    </row>
    <row r="42" spans="1:5" x14ac:dyDescent="0.25">
      <c r="A42" s="5">
        <v>148</v>
      </c>
      <c r="B42" s="6">
        <v>46.71924939826647</v>
      </c>
      <c r="C42" s="6">
        <f>46.7192493982664 * $B$36 / 100</f>
        <v>46.719249398266399</v>
      </c>
      <c r="D42" s="6">
        <v>5.8865216036273562</v>
      </c>
      <c r="E42" s="7">
        <f>5.88652160362735 * $B$36 / 100</f>
        <v>5.88652160362735</v>
      </c>
    </row>
    <row r="43" spans="1:5" x14ac:dyDescent="0.25">
      <c r="A43" s="5">
        <v>168</v>
      </c>
      <c r="B43" s="6">
        <v>49.775959437227662</v>
      </c>
      <c r="C43" s="6">
        <f>49.7759594372276 * $B$36 / 100</f>
        <v>49.775959437227606</v>
      </c>
      <c r="D43" s="6">
        <v>6.2716602758474913</v>
      </c>
      <c r="E43" s="7">
        <f>6.27166027584749 * $B$36 / 100</f>
        <v>6.2716602758474904</v>
      </c>
    </row>
    <row r="44" spans="1:5" x14ac:dyDescent="0.25">
      <c r="A44" s="5">
        <v>188</v>
      </c>
      <c r="B44" s="6">
        <v>52.65552213638798</v>
      </c>
      <c r="C44" s="6">
        <f>52.6555221363879 * $B$36 / 100</f>
        <v>52.655522136387901</v>
      </c>
      <c r="D44" s="6">
        <v>6.6344787769134701</v>
      </c>
      <c r="E44" s="7">
        <f>6.63447877691347 * $B$36 / 100</f>
        <v>6.6344787769134701</v>
      </c>
    </row>
    <row r="45" spans="1:5" x14ac:dyDescent="0.25">
      <c r="A45" s="5">
        <v>208</v>
      </c>
      <c r="B45" s="6">
        <v>55.385574701493852</v>
      </c>
      <c r="C45" s="6">
        <f>55.3855747014938 * $B$36 / 100</f>
        <v>55.385574701493809</v>
      </c>
      <c r="D45" s="6">
        <v>6.9784593333333316</v>
      </c>
      <c r="E45" s="7">
        <f>6.97845933333333 * $B$36 / 100</f>
        <v>6.9784593333333298</v>
      </c>
    </row>
    <row r="46" spans="1:5" x14ac:dyDescent="0.25">
      <c r="A46" s="5">
        <v>228</v>
      </c>
      <c r="B46" s="6">
        <v>57.961863524929889</v>
      </c>
      <c r="C46" s="6">
        <f>57.9618635249298 * $B$36 / 100</f>
        <v>57.961863524929797</v>
      </c>
      <c r="D46" s="6">
        <v>7.3030659999999994</v>
      </c>
      <c r="E46" s="7">
        <f>7.30306599999999 * $B$36 / 100</f>
        <v>7.3030659999999896</v>
      </c>
    </row>
    <row r="47" spans="1:5" x14ac:dyDescent="0.25">
      <c r="A47" s="5">
        <v>248</v>
      </c>
      <c r="B47" s="6">
        <v>60.538152348365927</v>
      </c>
      <c r="C47" s="6">
        <f>60.5381523483659 * $B$36 / 100</f>
        <v>60.538152348365905</v>
      </c>
      <c r="D47" s="6">
        <v>7.6276726666666654</v>
      </c>
      <c r="E47" s="7">
        <f>7.62767266666666 * $B$36 / 100</f>
        <v>7.6276726666666601</v>
      </c>
    </row>
    <row r="48" spans="1:5" x14ac:dyDescent="0.25">
      <c r="A48" s="5">
        <v>268</v>
      </c>
      <c r="B48" s="6">
        <v>63.114441171801971</v>
      </c>
      <c r="C48" s="6">
        <f>63.1144411718019 * $B$36 / 100</f>
        <v>63.1144411718019</v>
      </c>
      <c r="D48" s="6">
        <v>7.9522793333333324</v>
      </c>
      <c r="E48" s="7">
        <f>7.95227933333333 * $B$36 / 100</f>
        <v>7.9522793333333297</v>
      </c>
    </row>
    <row r="49" spans="1:5" x14ac:dyDescent="0.25">
      <c r="A49" s="5">
        <v>288</v>
      </c>
      <c r="B49" s="6">
        <v>65.690729995238016</v>
      </c>
      <c r="C49" s="6">
        <f>65.690729995238 * $B$36 / 100</f>
        <v>65.690729995238001</v>
      </c>
      <c r="D49" s="6">
        <v>8.2768859999999993</v>
      </c>
      <c r="E49" s="7">
        <f>8.276886 * $B$36 / 100</f>
        <v>8.2768859999999993</v>
      </c>
    </row>
    <row r="50" spans="1:5" x14ac:dyDescent="0.25">
      <c r="A50" s="5">
        <v>308</v>
      </c>
      <c r="B50" s="6">
        <v>68.079301222243785</v>
      </c>
      <c r="C50" s="6">
        <f>68.0793012222437 * $B$36 / 100</f>
        <v>68.0793012222437</v>
      </c>
      <c r="D50" s="6">
        <v>8.5778406666666669</v>
      </c>
      <c r="E50" s="7">
        <f>8.57784066666666 * $B$36 / 100</f>
        <v>8.5778406666666598</v>
      </c>
    </row>
    <row r="51" spans="1:5" x14ac:dyDescent="0.25">
      <c r="A51" s="5">
        <v>328</v>
      </c>
      <c r="B51" s="6">
        <v>70.186296054604142</v>
      </c>
      <c r="C51" s="6">
        <f>70.1862960546041 * $B$36 / 100</f>
        <v>70.186296054604099</v>
      </c>
      <c r="D51" s="6">
        <v>8.8433173333333333</v>
      </c>
      <c r="E51" s="7">
        <f>8.84331733333333 * $B$36 / 100</f>
        <v>8.8433173333333297</v>
      </c>
    </row>
    <row r="52" spans="1:5" x14ac:dyDescent="0.25">
      <c r="A52" s="5">
        <v>348</v>
      </c>
      <c r="B52" s="6">
        <v>72.293290886964499</v>
      </c>
      <c r="C52" s="6">
        <f>72.2932908869645 * $B$36 / 100</f>
        <v>72.293290886964499</v>
      </c>
      <c r="D52" s="6">
        <v>9.1087939999999996</v>
      </c>
      <c r="E52" s="7">
        <f>9.108794 * $B$36 / 100</f>
        <v>9.1087939999999996</v>
      </c>
    </row>
    <row r="53" spans="1:5" x14ac:dyDescent="0.25">
      <c r="A53" s="5">
        <v>368</v>
      </c>
      <c r="B53" s="6">
        <v>74.40028571932487</v>
      </c>
      <c r="C53" s="6">
        <f>74.4002857193248 * $B$36 / 100</f>
        <v>74.400285719324799</v>
      </c>
      <c r="D53" s="6">
        <v>9.3742706666666695</v>
      </c>
      <c r="E53" s="7">
        <f>9.37427066666667 * $B$36 / 100</f>
        <v>9.3742706666666695</v>
      </c>
    </row>
    <row r="54" spans="1:5" x14ac:dyDescent="0.25">
      <c r="A54" s="5">
        <v>388</v>
      </c>
      <c r="B54" s="6">
        <v>76.507280551685227</v>
      </c>
      <c r="C54" s="6">
        <f>76.5072805516852 * $B$36 / 100</f>
        <v>76.507280551685199</v>
      </c>
      <c r="D54" s="6">
        <v>9.6397473333333341</v>
      </c>
      <c r="E54" s="7">
        <f>9.63974733333333 * $B$36 / 100</f>
        <v>9.6397473333333306</v>
      </c>
    </row>
    <row r="55" spans="1:5" x14ac:dyDescent="0.25">
      <c r="A55" s="5">
        <v>408</v>
      </c>
      <c r="B55" s="6">
        <v>78.516940334044705</v>
      </c>
      <c r="C55" s="6">
        <f>78.5169403340447 * $B$36 / 100</f>
        <v>78.516940334044705</v>
      </c>
      <c r="D55" s="6">
        <v>9.8929600000000004</v>
      </c>
      <c r="E55" s="7">
        <f>9.89296 * $B$36 / 100</f>
        <v>9.8929600000000004</v>
      </c>
    </row>
    <row r="56" spans="1:5" x14ac:dyDescent="0.25">
      <c r="A56" s="5">
        <v>428</v>
      </c>
      <c r="B56" s="6">
        <v>80.380597541402864</v>
      </c>
      <c r="C56" s="6">
        <f>80.3805975414028 * $B$36 / 100</f>
        <v>80.380597541402807</v>
      </c>
      <c r="D56" s="6">
        <v>10.127776666666669</v>
      </c>
      <c r="E56" s="7">
        <f>10.1277766666666 * $B$36 / 100</f>
        <v>10.1277766666666</v>
      </c>
    </row>
    <row r="57" spans="1:5" x14ac:dyDescent="0.25">
      <c r="A57" s="5">
        <v>448</v>
      </c>
      <c r="B57" s="6">
        <v>82.244254748761008</v>
      </c>
      <c r="C57" s="6">
        <f>82.244254748761 * $B$36 / 100</f>
        <v>82.244254748760994</v>
      </c>
      <c r="D57" s="6">
        <v>10.362593333333329</v>
      </c>
      <c r="E57" s="7">
        <f>10.3625933333333 * $B$36 / 100</f>
        <v>10.362593333333301</v>
      </c>
    </row>
    <row r="58" spans="1:5" x14ac:dyDescent="0.25">
      <c r="A58" s="5">
        <v>468</v>
      </c>
      <c r="B58" s="6">
        <v>84.107911956119153</v>
      </c>
      <c r="C58" s="6">
        <f>84.1079119561191 * $B$36 / 100</f>
        <v>84.107911956119096</v>
      </c>
      <c r="D58" s="6">
        <v>10.59741</v>
      </c>
      <c r="E58" s="7">
        <f>10.59741 * $B$36 / 100</f>
        <v>10.59741</v>
      </c>
    </row>
    <row r="59" spans="1:5" x14ac:dyDescent="0.25">
      <c r="A59" s="5">
        <v>488</v>
      </c>
      <c r="B59" s="6">
        <v>85.971569163477312</v>
      </c>
      <c r="C59" s="6">
        <f>85.9715691634773 * $B$36 / 100</f>
        <v>85.971569163477312</v>
      </c>
      <c r="D59" s="6">
        <v>10.832226666666671</v>
      </c>
      <c r="E59" s="7">
        <f>10.8322266666666 * $B$36 / 100</f>
        <v>10.8322266666666</v>
      </c>
    </row>
    <row r="60" spans="1:5" x14ac:dyDescent="0.25">
      <c r="A60" s="5">
        <v>508</v>
      </c>
      <c r="B60" s="6">
        <v>87.760293832342725</v>
      </c>
      <c r="C60" s="6">
        <f>87.7602938323427 * $B$36 / 100</f>
        <v>87.760293832342711</v>
      </c>
      <c r="D60" s="6">
        <v>11.057601999999999</v>
      </c>
      <c r="E60" s="7">
        <f>11.057602 * $B$36 / 100</f>
        <v>11.057601999999999</v>
      </c>
    </row>
    <row r="61" spans="1:5" x14ac:dyDescent="0.25">
      <c r="A61" s="5">
        <v>528</v>
      </c>
      <c r="B61" s="6">
        <v>89.436619693469012</v>
      </c>
      <c r="C61" s="6">
        <f>89.436619693469 * $B$36 / 100</f>
        <v>89.436619693468998</v>
      </c>
      <c r="D61" s="6">
        <v>11.268815333333331</v>
      </c>
      <c r="E61" s="7">
        <f>11.2688153333333 * $B$36 / 100</f>
        <v>11.268815333333301</v>
      </c>
    </row>
    <row r="62" spans="1:5" x14ac:dyDescent="0.25">
      <c r="A62" s="5">
        <v>548</v>
      </c>
      <c r="B62" s="6">
        <v>91.112945554595314</v>
      </c>
      <c r="C62" s="6">
        <f>91.1129455545953 * $B$36 / 100</f>
        <v>91.112945554595299</v>
      </c>
      <c r="D62" s="6">
        <v>11.480028666666669</v>
      </c>
      <c r="E62" s="7">
        <f>11.4800286666666 * $B$36 / 100</f>
        <v>11.480028666666602</v>
      </c>
    </row>
    <row r="63" spans="1:5" x14ac:dyDescent="0.25">
      <c r="A63" s="5">
        <v>568</v>
      </c>
      <c r="B63" s="6">
        <v>92.789271415721615</v>
      </c>
      <c r="C63" s="6">
        <f>92.7892714157216 * $B$36 / 100</f>
        <v>92.789271415721601</v>
      </c>
      <c r="D63" s="6">
        <v>11.691242000000001</v>
      </c>
      <c r="E63" s="7">
        <f>11.691242 * $B$36 / 100</f>
        <v>11.691241999999999</v>
      </c>
    </row>
    <row r="64" spans="1:5" x14ac:dyDescent="0.25">
      <c r="A64" s="5">
        <v>588</v>
      </c>
      <c r="B64" s="6">
        <v>94.465597276847916</v>
      </c>
      <c r="C64" s="6">
        <f>94.4655972768479 * $B$36 / 100</f>
        <v>94.465597276847888</v>
      </c>
      <c r="D64" s="6">
        <v>11.902455333333331</v>
      </c>
      <c r="E64" s="7">
        <f>11.9024553333333 * $B$36 / 100</f>
        <v>11.9024553333333</v>
      </c>
    </row>
    <row r="65" spans="1:18" x14ac:dyDescent="0.25">
      <c r="A65" s="5">
        <v>608</v>
      </c>
      <c r="B65" s="6">
        <v>96.05872135712201</v>
      </c>
      <c r="C65" s="6">
        <f>96.058721357122 * $B$36 / 100</f>
        <v>96.058721357121996</v>
      </c>
      <c r="D65" s="6">
        <v>12.10318542717213</v>
      </c>
      <c r="E65" s="7">
        <f>12.1031854271721 * $B$36 / 100</f>
        <v>12.1031854271721</v>
      </c>
    </row>
    <row r="66" spans="1:18" x14ac:dyDescent="0.25">
      <c r="A66" s="5">
        <v>628</v>
      </c>
      <c r="B66" s="6">
        <v>97.625851231417201</v>
      </c>
      <c r="C66" s="6">
        <f>97.6258512314172 * $B$36 / 100</f>
        <v>97.625851231417201</v>
      </c>
      <c r="D66" s="6">
        <v>12.3006403088225</v>
      </c>
      <c r="E66" s="7">
        <f>12.3006403088224 * $B$36 / 100</f>
        <v>12.300640308822402</v>
      </c>
    </row>
    <row r="67" spans="1:18" x14ac:dyDescent="0.25">
      <c r="A67" s="5">
        <v>648</v>
      </c>
      <c r="B67" s="6">
        <v>99.168219246653777</v>
      </c>
      <c r="C67" s="6">
        <f>99.1682192466537 * $B$36 / 100</f>
        <v>99.168219246653692</v>
      </c>
      <c r="D67" s="6">
        <v>12.494975251257831</v>
      </c>
      <c r="E67" s="7">
        <f>12.4949752512578 * $B$36 / 100</f>
        <v>12.494975251257802</v>
      </c>
    </row>
    <row r="68" spans="1:18" x14ac:dyDescent="0.25">
      <c r="A68" s="5">
        <v>668</v>
      </c>
      <c r="B68" s="6">
        <v>100.6869633490155</v>
      </c>
      <c r="C68" s="6">
        <f>100.686963349015 * $B$36 / 100</f>
        <v>100.686963349015</v>
      </c>
      <c r="D68" s="6">
        <v>12.686333633168511</v>
      </c>
      <c r="E68" s="7">
        <f>12.6863336331685 * $B$36 / 100</f>
        <v>12.686333633168498</v>
      </c>
    </row>
    <row r="69" spans="1:18" x14ac:dyDescent="0.25">
      <c r="A69" s="5">
        <v>688</v>
      </c>
      <c r="B69" s="6">
        <v>102.1831369079046</v>
      </c>
      <c r="C69" s="6">
        <f>102.183136907904 * $B$36 / 100</f>
        <v>102.18313690790401</v>
      </c>
      <c r="D69" s="6">
        <v>12.874848176758411</v>
      </c>
      <c r="E69" s="7">
        <f>12.8748481767584 * $B$36 / 100</f>
        <v>12.8748481767584</v>
      </c>
    </row>
    <row r="70" spans="1:18" x14ac:dyDescent="0.25">
      <c r="A70" s="5">
        <v>708</v>
      </c>
      <c r="B70" s="6">
        <v>103.6577172632755</v>
      </c>
      <c r="C70" s="6">
        <f>103.657717263275 * $B$36 / 100</f>
        <v>103.657717263275</v>
      </c>
      <c r="D70" s="6">
        <v>13.06064202468991</v>
      </c>
      <c r="E70" s="7">
        <f>13.0606420246899 * $B$36 / 100</f>
        <v>13.060642024689901</v>
      </c>
    </row>
    <row r="71" spans="1:18" x14ac:dyDescent="0.25">
      <c r="A71" s="5">
        <v>728</v>
      </c>
      <c r="B71" s="6">
        <v>105.11161319343719</v>
      </c>
      <c r="C71" s="6">
        <f>105.111613193437 * $B$36 / 100</f>
        <v>105.11161319343699</v>
      </c>
      <c r="D71" s="6">
        <v>13.243829681010441</v>
      </c>
      <c r="E71" s="7">
        <f>13.2438296810104 * $B$36 / 100</f>
        <v>13.2438296810104</v>
      </c>
    </row>
    <row r="72" spans="1:18" x14ac:dyDescent="0.25">
      <c r="A72" s="5">
        <v>748</v>
      </c>
      <c r="B72" s="6">
        <v>106.54567146543479</v>
      </c>
      <c r="C72" s="6">
        <f>106.545671465434 * $B$36 / 100</f>
        <v>106.54567146543398</v>
      </c>
      <c r="D72" s="6">
        <v>13.42451783648597</v>
      </c>
      <c r="E72" s="7">
        <f>13.4245178364859 * $B$36 / 100</f>
        <v>13.424517836485899</v>
      </c>
    </row>
    <row r="73" spans="1:18" x14ac:dyDescent="0.25">
      <c r="A73" s="8">
        <v>768</v>
      </c>
      <c r="B73" s="9">
        <v>107.9606826021119</v>
      </c>
      <c r="C73" s="9">
        <f>107.960682602111 * $B$36 / 100</f>
        <v>107.96068260211101</v>
      </c>
      <c r="D73" s="9">
        <v>13.60280609523809</v>
      </c>
      <c r="E73" s="10">
        <f>13.602806095238 * $B$36 / 100</f>
        <v>13.602806095238</v>
      </c>
    </row>
    <row r="75" spans="1:18" ht="28.9" customHeight="1" x14ac:dyDescent="0.5">
      <c r="A75" s="1" t="s">
        <v>23</v>
      </c>
      <c r="B75" s="1"/>
    </row>
    <row r="76" spans="1:18" x14ac:dyDescent="0.25">
      <c r="A76" s="21" t="s">
        <v>24</v>
      </c>
      <c r="B76" s="22">
        <v>0</v>
      </c>
      <c r="C76" s="22">
        <v>6.25</v>
      </c>
      <c r="D76" s="22">
        <v>12.5</v>
      </c>
      <c r="E76" s="22">
        <v>18.75</v>
      </c>
      <c r="F76" s="22">
        <v>25</v>
      </c>
      <c r="G76" s="22">
        <v>31.25</v>
      </c>
      <c r="H76" s="22">
        <v>37.5</v>
      </c>
      <c r="I76" s="22">
        <v>43.75</v>
      </c>
      <c r="J76" s="22">
        <v>50</v>
      </c>
      <c r="K76" s="22">
        <v>56.25</v>
      </c>
      <c r="L76" s="22">
        <v>62.5</v>
      </c>
      <c r="M76" s="22">
        <v>68.75</v>
      </c>
      <c r="N76" s="22">
        <v>75</v>
      </c>
      <c r="O76" s="22">
        <v>81.25</v>
      </c>
      <c r="P76" s="22">
        <v>87.5</v>
      </c>
      <c r="Q76" s="22">
        <v>93.75</v>
      </c>
      <c r="R76" s="23">
        <v>100</v>
      </c>
    </row>
    <row r="77" spans="1:18" x14ac:dyDescent="0.25">
      <c r="A77" s="5" t="s">
        <v>25</v>
      </c>
      <c r="B77" s="6">
        <f>0 * $B$38 + (1 - 0) * $B$37</f>
        <v>14.7</v>
      </c>
      <c r="C77" s="6">
        <f>0.0625 * $B$38 + (1 - 0.0625) * $B$37</f>
        <v>14.344250000000001</v>
      </c>
      <c r="D77" s="6">
        <f>0.125 * $B$38 + (1 - 0.125) * $B$37</f>
        <v>13.988499999999998</v>
      </c>
      <c r="E77" s="6">
        <f>0.1875 * $B$38 + (1 - 0.1875) * $B$37</f>
        <v>13.63275</v>
      </c>
      <c r="F77" s="6">
        <f>0.25 * $B$38 + (1 - 0.25) * $B$37</f>
        <v>13.276999999999997</v>
      </c>
      <c r="G77" s="6">
        <f>0.3125 * $B$38 + (1 - 0.3125) * $B$37</f>
        <v>12.921249999999999</v>
      </c>
      <c r="H77" s="6">
        <f>0.375 * $B$38 + (1 - 0.375) * $B$37</f>
        <v>12.5655</v>
      </c>
      <c r="I77" s="6">
        <f>0.4375 * $B$38 + (1 - 0.4375) * $B$37</f>
        <v>12.20975</v>
      </c>
      <c r="J77" s="6">
        <f>0.5 * $B$38 + (1 - 0.5) * $B$37</f>
        <v>11.853999999999999</v>
      </c>
      <c r="K77" s="6">
        <f>0.5625 * $B$38 + (1 - 0.5625) * $B$37</f>
        <v>11.498249999999999</v>
      </c>
      <c r="L77" s="6">
        <f>0.625 * $B$38 + (1 - 0.625) * $B$37</f>
        <v>11.142499999999998</v>
      </c>
      <c r="M77" s="6">
        <f>0.6875 * $B$38 + (1 - 0.6875) * $B$37</f>
        <v>10.78675</v>
      </c>
      <c r="N77" s="6">
        <f>0.75 * $B$38 + (1 - 0.75) * $B$37</f>
        <v>10.430999999999999</v>
      </c>
      <c r="O77" s="6">
        <f>0.8125 * $B$38 + (1 - 0.8125) * $B$37</f>
        <v>10.075249999999999</v>
      </c>
      <c r="P77" s="6">
        <f>0.875 * $B$38 + (1 - 0.875) * $B$37</f>
        <v>9.7195</v>
      </c>
      <c r="Q77" s="6">
        <f>0.9375 * $B$38 + (1 - 0.9375) * $B$37</f>
        <v>9.3637499999999978</v>
      </c>
      <c r="R77" s="7">
        <f>1 * $B$38 + (1 - 1) * $B$37</f>
        <v>9.0079999999999991</v>
      </c>
    </row>
    <row r="78" spans="1:18" x14ac:dyDescent="0.25">
      <c r="A78" s="8" t="s">
        <v>26</v>
      </c>
      <c r="B78" s="9">
        <f>(0 * $B$38 + (1 - 0) * $B$37) * $B$36 / 100</f>
        <v>14.7</v>
      </c>
      <c r="C78" s="9">
        <f>(0.0625 * $B$38 + (1 - 0.0625) * $B$37) * $B$36 / 100</f>
        <v>14.344249999999999</v>
      </c>
      <c r="D78" s="9">
        <f>(0.125 * $B$38 + (1 - 0.125) * $B$37) * $B$36 / 100</f>
        <v>13.988499999999998</v>
      </c>
      <c r="E78" s="9">
        <f>(0.1875 * $B$38 + (1 - 0.1875) * $B$37) * $B$36 / 100</f>
        <v>13.632749999999998</v>
      </c>
      <c r="F78" s="9">
        <f>(0.25 * $B$38 + (1 - 0.25) * $B$37) * $B$36 / 100</f>
        <v>13.276999999999997</v>
      </c>
      <c r="G78" s="9">
        <f>(0.3125 * $B$38 + (1 - 0.3125) * $B$37) * $B$36 / 100</f>
        <v>12.921249999999997</v>
      </c>
      <c r="H78" s="9">
        <f>(0.375 * $B$38 + (1 - 0.375) * $B$37) * $B$36 / 100</f>
        <v>12.5655</v>
      </c>
      <c r="I78" s="9">
        <f>(0.4375 * $B$38 + (1 - 0.4375) * $B$37) * $B$36 / 100</f>
        <v>12.20975</v>
      </c>
      <c r="J78" s="9">
        <f>(0.5 * $B$38 + (1 - 0.5) * $B$37) * $B$36 / 100</f>
        <v>11.853999999999999</v>
      </c>
      <c r="K78" s="9">
        <f>(0.5625 * $B$38 + (1 - 0.5625) * $B$37) * $B$36 / 100</f>
        <v>11.498249999999999</v>
      </c>
      <c r="L78" s="9">
        <f>(0.625 * $B$38 + (1 - 0.625) * $B$37) * $B$36 / 100</f>
        <v>11.142499999999998</v>
      </c>
      <c r="M78" s="9">
        <f>(0.6875 * $B$38 + (1 - 0.6875) * $B$37) * $B$36 / 100</f>
        <v>10.78675</v>
      </c>
      <c r="N78" s="9">
        <f>(0.75 * $B$38 + (1 - 0.75) * $B$37) * $B$36 / 100</f>
        <v>10.430999999999999</v>
      </c>
      <c r="O78" s="9">
        <f>(0.8125 * $B$38 + (1 - 0.8125) * $B$37) * $B$36 / 100</f>
        <v>10.075249999999999</v>
      </c>
      <c r="P78" s="9">
        <f>(0.875 * $B$38 + (1 - 0.875) * $B$37) * $B$36 / 100</f>
        <v>9.7195</v>
      </c>
      <c r="Q78" s="9">
        <f>(0.9375 * $B$38 + (1 - 0.9375) * $B$37) * $B$36 / 100</f>
        <v>9.3637499999999978</v>
      </c>
      <c r="R78" s="10">
        <f>(1 * $B$38 + (1 - 1) * $B$37) * $B$36 / 100</f>
        <v>9.0079999999999991</v>
      </c>
    </row>
    <row r="80" spans="1:18" ht="28.9" customHeight="1" x14ac:dyDescent="0.5">
      <c r="A80" s="1" t="s">
        <v>27</v>
      </c>
      <c r="B80" s="1"/>
    </row>
    <row r="81" spans="1:18" x14ac:dyDescent="0.25">
      <c r="A81" s="24" t="s">
        <v>28</v>
      </c>
      <c r="B81" s="25" t="s">
        <v>29</v>
      </c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6"/>
    </row>
    <row r="82" spans="1:18" x14ac:dyDescent="0.25">
      <c r="A82" s="27" t="s">
        <v>39</v>
      </c>
      <c r="B82" s="28">
        <v>4</v>
      </c>
      <c r="C82" s="28">
        <v>5</v>
      </c>
      <c r="D82" s="28">
        <v>6</v>
      </c>
      <c r="E82" s="28">
        <v>7</v>
      </c>
      <c r="F82" s="28">
        <v>8</v>
      </c>
      <c r="G82" s="28">
        <v>9</v>
      </c>
      <c r="H82" s="28">
        <v>10</v>
      </c>
      <c r="I82" s="28">
        <v>11</v>
      </c>
      <c r="J82" s="28">
        <v>12</v>
      </c>
      <c r="K82" s="28">
        <v>13</v>
      </c>
      <c r="L82" s="28">
        <v>14</v>
      </c>
      <c r="M82" s="28">
        <v>15</v>
      </c>
      <c r="N82" s="28">
        <v>16</v>
      </c>
      <c r="O82" s="28">
        <v>17</v>
      </c>
      <c r="P82" s="28">
        <v>18</v>
      </c>
      <c r="Q82" s="28">
        <v>19</v>
      </c>
      <c r="R82" s="29">
        <v>20</v>
      </c>
    </row>
    <row r="83" spans="1:18" x14ac:dyDescent="0.25">
      <c r="A83" s="30">
        <v>128</v>
      </c>
      <c r="B83" s="31">
        <v>7.4646662649732498</v>
      </c>
      <c r="C83" s="31">
        <v>5.7217861988175116</v>
      </c>
      <c r="D83" s="31">
        <v>4.3687347364307287</v>
      </c>
      <c r="E83" s="31">
        <v>3.3393435991165741</v>
      </c>
      <c r="F83" s="31">
        <v>2.5735996971602102</v>
      </c>
      <c r="G83" s="31">
        <v>2.0176451298283271</v>
      </c>
      <c r="H83" s="31">
        <v>1.623777185369135</v>
      </c>
      <c r="I83" s="31">
        <v>1.3504483410123509</v>
      </c>
      <c r="J83" s="31">
        <v>1.1622662629692</v>
      </c>
      <c r="K83" s="31">
        <v>1.029993806432451</v>
      </c>
      <c r="L83" s="31">
        <v>0.93054901557636616</v>
      </c>
      <c r="M83" s="31">
        <v>0.84700512355671487</v>
      </c>
      <c r="N83" s="31">
        <v>0.7685905525108192</v>
      </c>
      <c r="O83" s="31">
        <v>0.69068891355747308</v>
      </c>
      <c r="P83" s="31">
        <v>0.61483900679698089</v>
      </c>
      <c r="Q83" s="31">
        <v>0.54873482131127838</v>
      </c>
      <c r="R83" s="32">
        <v>0.50622553516362245</v>
      </c>
    </row>
    <row r="84" spans="1:18" x14ac:dyDescent="0.25">
      <c r="A84" s="30">
        <v>148</v>
      </c>
      <c r="B84" s="31">
        <v>7.6998555077435507</v>
      </c>
      <c r="C84" s="31">
        <v>5.9035340756028916</v>
      </c>
      <c r="D84" s="31">
        <v>4.5059234383703366</v>
      </c>
      <c r="E84" s="31">
        <v>3.440083708328054</v>
      </c>
      <c r="F84" s="31">
        <v>2.645230186739723</v>
      </c>
      <c r="G84" s="31">
        <v>2.0667333638505432</v>
      </c>
      <c r="H84" s="31">
        <v>1.656118918887229</v>
      </c>
      <c r="I84" s="31">
        <v>1.3710677200580159</v>
      </c>
      <c r="J84" s="31">
        <v>1.1754158245526449</v>
      </c>
      <c r="K84" s="31">
        <v>1.0391544785423761</v>
      </c>
      <c r="L84" s="31">
        <v>0.93843011718000846</v>
      </c>
      <c r="M84" s="31">
        <v>0.85554436459980854</v>
      </c>
      <c r="N84" s="31">
        <v>0.77895403391759321</v>
      </c>
      <c r="O84" s="31">
        <v>0.70327112723069618</v>
      </c>
      <c r="P84" s="31">
        <v>0.62926283561792939</v>
      </c>
      <c r="Q84" s="31">
        <v>0.56385153913971198</v>
      </c>
      <c r="R84" s="32">
        <v>0.52011480683782463</v>
      </c>
    </row>
    <row r="85" spans="1:18" x14ac:dyDescent="0.25">
      <c r="A85" s="30">
        <v>168</v>
      </c>
      <c r="B85" s="31">
        <v>7.9427733446323181</v>
      </c>
      <c r="C85" s="31">
        <v>6.0918955945369246</v>
      </c>
      <c r="D85" s="31">
        <v>4.648697707998533</v>
      </c>
      <c r="E85" s="31">
        <v>3.54546818827784</v>
      </c>
      <c r="F85" s="31">
        <v>2.7206507276170329</v>
      </c>
      <c r="G85" s="31">
        <v>2.118844207239821</v>
      </c>
      <c r="H85" s="31">
        <v>1.6908026973514301</v>
      </c>
      <c r="I85" s="31">
        <v>1.3934354571386061</v>
      </c>
      <c r="J85" s="31">
        <v>1.189806934769595</v>
      </c>
      <c r="K85" s="31">
        <v>1.049136767394186</v>
      </c>
      <c r="L85" s="31">
        <v>0.94679978114365682</v>
      </c>
      <c r="M85" s="31">
        <v>0.86432599113081054</v>
      </c>
      <c r="N85" s="31">
        <v>0.7894006014499767</v>
      </c>
      <c r="O85" s="31">
        <v>0.71586400517698234</v>
      </c>
      <c r="P85" s="31">
        <v>0.64371178436915599</v>
      </c>
      <c r="Q85" s="31">
        <v>0.57909471006541935</v>
      </c>
      <c r="R85" s="32">
        <v>0.53431874228609655</v>
      </c>
    </row>
    <row r="86" spans="1:18" x14ac:dyDescent="0.25">
      <c r="A86" s="30">
        <v>188</v>
      </c>
      <c r="B86" s="31">
        <v>8.1934514266306575</v>
      </c>
      <c r="C86" s="31">
        <v>6.2868999656186118</v>
      </c>
      <c r="D86" s="31">
        <v>4.7970843143222641</v>
      </c>
      <c r="E86" s="31">
        <v>3.655521366980806</v>
      </c>
      <c r="F86" s="31">
        <v>2.7998832068149389</v>
      </c>
      <c r="G86" s="31">
        <v>2.1739971060268828</v>
      </c>
      <c r="H86" s="31">
        <v>1.727845525800386</v>
      </c>
      <c r="I86" s="31">
        <v>1.4175661163006921</v>
      </c>
      <c r="J86" s="31">
        <v>1.2054517166745671</v>
      </c>
      <c r="K86" s="31">
        <v>1.0599503550502889</v>
      </c>
      <c r="L86" s="31">
        <v>0.95566524853767942</v>
      </c>
      <c r="M86" s="31">
        <v>0.87335480322802383</v>
      </c>
      <c r="N86" s="31">
        <v>0.79993261419417305</v>
      </c>
      <c r="O86" s="31">
        <v>0.72846746549047847</v>
      </c>
      <c r="P86" s="31">
        <v>0.65818333015275243</v>
      </c>
      <c r="Q86" s="31">
        <v>0.59445937019846407</v>
      </c>
      <c r="R86" s="32">
        <v>0.54882993662639035</v>
      </c>
    </row>
    <row r="87" spans="1:18" x14ac:dyDescent="0.25">
      <c r="A87" s="30">
        <v>208</v>
      </c>
      <c r="B87" s="31">
        <v>8.4519215382164639</v>
      </c>
      <c r="C87" s="31">
        <v>6.4885765323337914</v>
      </c>
      <c r="D87" s="31">
        <v>4.9511101598352782</v>
      </c>
      <c r="E87" s="31">
        <v>3.7702677059386249</v>
      </c>
      <c r="F87" s="31">
        <v>2.8829496448430429</v>
      </c>
      <c r="G87" s="31">
        <v>2.2322116397292708</v>
      </c>
      <c r="H87" s="31">
        <v>1.767264542759555</v>
      </c>
      <c r="I87" s="31">
        <v>1.4434743950776541</v>
      </c>
      <c r="J87" s="31">
        <v>1.2223624268088391</v>
      </c>
      <c r="K87" s="31">
        <v>1.0716050570599269</v>
      </c>
      <c r="L87" s="31">
        <v>0.96503389391921401</v>
      </c>
      <c r="M87" s="31">
        <v>0.88263573445652099</v>
      </c>
      <c r="N87" s="31">
        <v>0.81055256472319204</v>
      </c>
      <c r="O87" s="31">
        <v>0.74108155975208567</v>
      </c>
      <c r="P87" s="31">
        <v>0.67267508355755345</v>
      </c>
      <c r="Q87" s="31">
        <v>0.60994068913556254</v>
      </c>
      <c r="R87" s="32">
        <v>0.56364111846341558</v>
      </c>
    </row>
    <row r="88" spans="1:18" x14ac:dyDescent="0.25">
      <c r="A88" s="30">
        <v>228</v>
      </c>
      <c r="B88" s="31">
        <v>8.7182155973544617</v>
      </c>
      <c r="C88" s="31">
        <v>6.6969547716551094</v>
      </c>
      <c r="D88" s="31">
        <v>5.1108022805181514</v>
      </c>
      <c r="E88" s="31">
        <v>3.8897318001397991</v>
      </c>
      <c r="F88" s="31">
        <v>2.9698721956977741</v>
      </c>
      <c r="G88" s="31">
        <v>2.2935075213513212</v>
      </c>
      <c r="H88" s="31">
        <v>1.8090770202412021</v>
      </c>
      <c r="I88" s="31">
        <v>1.47117512448969</v>
      </c>
      <c r="J88" s="31">
        <v>1.240551455200557</v>
      </c>
      <c r="K88" s="31">
        <v>1.0841108224591329</v>
      </c>
      <c r="L88" s="31">
        <v>0.97491322533223168</v>
      </c>
      <c r="M88" s="31">
        <v>0.8921738518681791</v>
      </c>
      <c r="N88" s="31">
        <v>0.82126307909684448</v>
      </c>
      <c r="O88" s="31">
        <v>0.75370647302958427</v>
      </c>
      <c r="P88" s="31">
        <v>0.68718478865926247</v>
      </c>
      <c r="Q88" s="31">
        <v>0.62553396996032229</v>
      </c>
      <c r="R88" s="32">
        <v>0.57874514988861836</v>
      </c>
    </row>
    <row r="89" spans="1:18" x14ac:dyDescent="0.25">
      <c r="A89" s="30">
        <v>248</v>
      </c>
      <c r="B89" s="31">
        <v>8.9923656554962008</v>
      </c>
      <c r="C89" s="31">
        <v>6.9120642940420476</v>
      </c>
      <c r="D89" s="31">
        <v>5.276187845838292</v>
      </c>
      <c r="E89" s="31">
        <v>4.0139383780596596</v>
      </c>
      <c r="F89" s="31">
        <v>3.0606731468623871</v>
      </c>
      <c r="G89" s="31">
        <v>2.3579045973842261</v>
      </c>
      <c r="H89" s="31">
        <v>1.8533003637444461</v>
      </c>
      <c r="I89" s="31">
        <v>1.5006832690438381</v>
      </c>
      <c r="J89" s="31">
        <v>1.2600313253646891</v>
      </c>
      <c r="K89" s="31">
        <v>1.0974777337708299</v>
      </c>
      <c r="L89" s="31">
        <v>0.98531088430757841</v>
      </c>
      <c r="M89" s="31">
        <v>0.90197435600178388</v>
      </c>
      <c r="N89" s="31">
        <v>0.83206691686181966</v>
      </c>
      <c r="O89" s="31">
        <v>0.76634252387754409</v>
      </c>
      <c r="P89" s="31">
        <v>0.70171032302036107</v>
      </c>
      <c r="Q89" s="31">
        <v>0.64123464924320928</v>
      </c>
      <c r="R89" s="32">
        <v>0.59413502648045846</v>
      </c>
    </row>
    <row r="90" spans="1:18" x14ac:dyDescent="0.25">
      <c r="A90" s="30">
        <v>268</v>
      </c>
      <c r="B90" s="31">
        <v>9.2744038975800542</v>
      </c>
      <c r="C90" s="31">
        <v>7.1339348434408896</v>
      </c>
      <c r="D90" s="31">
        <v>5.4472941587499077</v>
      </c>
      <c r="E90" s="31">
        <v>4.1429123016603473</v>
      </c>
      <c r="F90" s="31">
        <v>3.1553749193069449</v>
      </c>
      <c r="G90" s="31">
        <v>2.4254228478059732</v>
      </c>
      <c r="H90" s="31">
        <v>1.899952112255205</v>
      </c>
      <c r="I90" s="31">
        <v>1.532013926733941</v>
      </c>
      <c r="J90" s="31">
        <v>1.280814694302987</v>
      </c>
      <c r="K90" s="31">
        <v>1.1117160070046681</v>
      </c>
      <c r="L90" s="31">
        <v>0.9962346458628365</v>
      </c>
      <c r="M90" s="31">
        <v>0.91204258088284018</v>
      </c>
      <c r="N90" s="31">
        <v>0.84296697105155782</v>
      </c>
      <c r="O90" s="31">
        <v>0.77899016433737978</v>
      </c>
      <c r="P90" s="31">
        <v>0.71624969769019142</v>
      </c>
      <c r="Q90" s="31">
        <v>0.65703829704144567</v>
      </c>
      <c r="R90" s="32">
        <v>0.60980387730403141</v>
      </c>
    </row>
    <row r="91" spans="1:18" x14ac:dyDescent="0.25">
      <c r="A91" s="30">
        <v>288</v>
      </c>
      <c r="B91" s="31">
        <v>9.5643626420312131</v>
      </c>
      <c r="C91" s="31">
        <v>7.3625962972847612</v>
      </c>
      <c r="D91" s="31">
        <v>5.6241486556940536</v>
      </c>
      <c r="E91" s="31">
        <v>4.2766785663908324</v>
      </c>
      <c r="F91" s="31">
        <v>3.254000067488346</v>
      </c>
      <c r="G91" s="31">
        <v>2.4960823860813801</v>
      </c>
      <c r="H91" s="31">
        <v>1.949049938246215</v>
      </c>
      <c r="I91" s="31">
        <v>1.565182329040675</v>
      </c>
      <c r="J91" s="31">
        <v>1.3029143525040521</v>
      </c>
      <c r="K91" s="31">
        <v>1.1268359916572031</v>
      </c>
      <c r="L91" s="31">
        <v>1.0076924185024809</v>
      </c>
      <c r="M91" s="31">
        <v>0.92238399402373838</v>
      </c>
      <c r="N91" s="31">
        <v>0.85396626818637611</v>
      </c>
      <c r="O91" s="31">
        <v>0.7916499799373008</v>
      </c>
      <c r="P91" s="31">
        <v>0.7308010572048893</v>
      </c>
      <c r="Q91" s="31">
        <v>0.6729406168991332</v>
      </c>
      <c r="R91" s="32">
        <v>0.62574496491139819</v>
      </c>
    </row>
    <row r="92" spans="1:18" x14ac:dyDescent="0.25">
      <c r="A92" s="30">
        <v>308</v>
      </c>
      <c r="B92" s="31">
        <v>9.8622743407616831</v>
      </c>
      <c r="C92" s="31">
        <v>7.5980786664936018</v>
      </c>
      <c r="D92" s="31">
        <v>5.8067789065985886</v>
      </c>
      <c r="E92" s="31">
        <v>4.415262301186905</v>
      </c>
      <c r="F92" s="31">
        <v>3.3565712793503129</v>
      </c>
      <c r="G92" s="31">
        <v>2.5699034591620928</v>
      </c>
      <c r="H92" s="31">
        <v>2.0006116476770588</v>
      </c>
      <c r="I92" s="31">
        <v>1.6002038409315189</v>
      </c>
      <c r="J92" s="31">
        <v>1.3263432239432991</v>
      </c>
      <c r="K92" s="31">
        <v>1.1428481707117599</v>
      </c>
      <c r="L92" s="31">
        <v>1.0196922442177689</v>
      </c>
      <c r="M92" s="31">
        <v>0.93300419642368493</v>
      </c>
      <c r="N92" s="31">
        <v>0.86506796827341348</v>
      </c>
      <c r="O92" s="31">
        <v>0.80432268969236653</v>
      </c>
      <c r="P92" s="31">
        <v>0.74536267958744451</v>
      </c>
      <c r="Q92" s="31">
        <v>0.68893744584715244</v>
      </c>
      <c r="R92" s="32">
        <v>0.64195168534136837</v>
      </c>
    </row>
    <row r="93" spans="1:18" x14ac:dyDescent="0.25">
      <c r="A93" s="30">
        <v>328</v>
      </c>
      <c r="B93" s="31">
        <v>10.1681715791703</v>
      </c>
      <c r="C93" s="31">
        <v>7.8404120954741643</v>
      </c>
      <c r="D93" s="31">
        <v>5.9952126148781968</v>
      </c>
      <c r="E93" s="31">
        <v>4.5586887684711757</v>
      </c>
      <c r="F93" s="31">
        <v>3.463111376323369</v>
      </c>
      <c r="G93" s="31">
        <v>2.6469064474865771</v>
      </c>
      <c r="H93" s="31">
        <v>2.054655179994108</v>
      </c>
      <c r="I93" s="31">
        <v>1.6370939608607931</v>
      </c>
      <c r="J93" s="31">
        <v>1.351114366082977</v>
      </c>
      <c r="K93" s="31">
        <v>1.1597631606385139</v>
      </c>
      <c r="L93" s="31">
        <v>1.032242298486781</v>
      </c>
      <c r="M93" s="31">
        <v>0.94390892256866055</v>
      </c>
      <c r="N93" s="31">
        <v>0.87627536480656831</v>
      </c>
      <c r="O93" s="31">
        <v>0.81700914610443598</v>
      </c>
      <c r="P93" s="31">
        <v>0.75993297634765622</v>
      </c>
      <c r="Q93" s="31">
        <v>0.70502475440321877</v>
      </c>
      <c r="R93" s="32">
        <v>0.65841756811958885</v>
      </c>
    </row>
    <row r="94" spans="1:18" x14ac:dyDescent="0.25">
      <c r="A94" s="30">
        <v>348</v>
      </c>
      <c r="B94" s="31">
        <v>10.482087076142729</v>
      </c>
      <c r="C94" s="31">
        <v>8.0896268621200402</v>
      </c>
      <c r="D94" s="31">
        <v>6.1894776174343926</v>
      </c>
      <c r="E94" s="31">
        <v>4.7069833641530794</v>
      </c>
      <c r="F94" s="31">
        <v>3.5736433133248831</v>
      </c>
      <c r="G94" s="31">
        <v>2.7271118649801078</v>
      </c>
      <c r="H94" s="31">
        <v>2.1111986081305871</v>
      </c>
      <c r="I94" s="31">
        <v>1.675868320769649</v>
      </c>
      <c r="J94" s="31">
        <v>1.3772409698721411</v>
      </c>
      <c r="K94" s="31">
        <v>1.1775917113944481</v>
      </c>
      <c r="L94" s="31">
        <v>1.045350890274459</v>
      </c>
      <c r="M94" s="31">
        <v>0.95510404043153985</v>
      </c>
      <c r="N94" s="31">
        <v>0.88759188476664463</v>
      </c>
      <c r="O94" s="31">
        <v>0.82971033516219028</v>
      </c>
      <c r="P94" s="31">
        <v>0.77451049248210779</v>
      </c>
      <c r="Q94" s="31">
        <v>0.72119864657189947</v>
      </c>
      <c r="R94" s="32">
        <v>0.67513627625848482</v>
      </c>
    </row>
    <row r="95" spans="1:18" x14ac:dyDescent="0.25">
      <c r="A95" s="30">
        <v>368</v>
      </c>
      <c r="B95" s="31">
        <v>10.80405368405145</v>
      </c>
      <c r="C95" s="31">
        <v>8.3457533778116186</v>
      </c>
      <c r="D95" s="31">
        <v>6.3896018846554918</v>
      </c>
      <c r="E95" s="31">
        <v>4.8601716176288647</v>
      </c>
      <c r="F95" s="31">
        <v>3.688190178759025</v>
      </c>
      <c r="G95" s="31">
        <v>2.8105403590547979</v>
      </c>
      <c r="H95" s="31">
        <v>2.1702601385065141</v>
      </c>
      <c r="I95" s="31">
        <v>1.7165426860860169</v>
      </c>
      <c r="J95" s="31">
        <v>1.404736359746674</v>
      </c>
      <c r="K95" s="31">
        <v>1.1963447064233741</v>
      </c>
      <c r="L95" s="31">
        <v>1.0590264620325041</v>
      </c>
      <c r="M95" s="31">
        <v>0.96659555147196885</v>
      </c>
      <c r="N95" s="31">
        <v>0.89902108862119545</v>
      </c>
      <c r="O95" s="31">
        <v>0.84242737634115317</v>
      </c>
      <c r="P95" s="31">
        <v>0.78909390647424282</v>
      </c>
      <c r="Q95" s="31">
        <v>0.73745535984452448</v>
      </c>
      <c r="R95" s="32">
        <v>0.6921016062574098</v>
      </c>
    </row>
    <row r="96" spans="1:18" x14ac:dyDescent="0.25">
      <c r="A96" s="30">
        <v>388</v>
      </c>
      <c r="B96" s="31">
        <v>11.134104388755739</v>
      </c>
      <c r="C96" s="31">
        <v>8.6088221874161395</v>
      </c>
      <c r="D96" s="31">
        <v>6.595613520416661</v>
      </c>
      <c r="E96" s="31">
        <v>5.0182791917816214</v>
      </c>
      <c r="F96" s="31">
        <v>3.806775194516816</v>
      </c>
      <c r="G96" s="31">
        <v>2.897212710609578</v>
      </c>
      <c r="H96" s="31">
        <v>2.2318581110287492</v>
      </c>
      <c r="I96" s="31">
        <v>1.759132955724706</v>
      </c>
      <c r="J96" s="31">
        <v>1.4336139936292871</v>
      </c>
      <c r="K96" s="31">
        <v>1.21603316265592</v>
      </c>
      <c r="L96" s="31">
        <v>1.0732775896994919</v>
      </c>
      <c r="M96" s="31">
        <v>0.97838959063643227</v>
      </c>
      <c r="N96" s="31">
        <v>0.91056667032465555</v>
      </c>
      <c r="O96" s="31">
        <v>0.85516152260366973</v>
      </c>
      <c r="P96" s="31">
        <v>0.80368203029436458</v>
      </c>
      <c r="Q96" s="31">
        <v>0.75379126519931794</v>
      </c>
      <c r="R96" s="32">
        <v>0.70930748810242505</v>
      </c>
    </row>
    <row r="97" spans="1:18" x14ac:dyDescent="0.25">
      <c r="A97" s="30">
        <v>408</v>
      </c>
      <c r="B97" s="31">
        <v>11.472272309601751</v>
      </c>
      <c r="C97" s="31">
        <v>8.8788639692876465</v>
      </c>
      <c r="D97" s="31">
        <v>6.8075407620798671</v>
      </c>
      <c r="E97" s="31">
        <v>5.1813318829812332</v>
      </c>
      <c r="F97" s="31">
        <v>3.9294217159760638</v>
      </c>
      <c r="G97" s="31">
        <v>2.9871498340301899</v>
      </c>
      <c r="H97" s="31">
        <v>2.2960109990909778</v>
      </c>
      <c r="I97" s="31">
        <v>1.8036551620872829</v>
      </c>
      <c r="J97" s="31">
        <v>1.4638874629295</v>
      </c>
      <c r="K97" s="31">
        <v>1.2366682305095329</v>
      </c>
      <c r="L97" s="31">
        <v>1.088112982700798</v>
      </c>
      <c r="M97" s="31">
        <v>0.99049242635821444</v>
      </c>
      <c r="N97" s="31">
        <v>0.92223245731823766</v>
      </c>
      <c r="O97" s="31">
        <v>0.8679141603988616</v>
      </c>
      <c r="P97" s="31">
        <v>0.81827380939949279</v>
      </c>
      <c r="Q97" s="31">
        <v>0.77020286710121844</v>
      </c>
      <c r="R97" s="32">
        <v>0.72674798526647777</v>
      </c>
    </row>
    <row r="98" spans="1:18" x14ac:dyDescent="0.25">
      <c r="A98" s="30">
        <v>428</v>
      </c>
      <c r="B98" s="31">
        <v>11.818590699422399</v>
      </c>
      <c r="C98" s="31">
        <v>9.1559095352669981</v>
      </c>
      <c r="D98" s="31">
        <v>7.0254119804938986</v>
      </c>
      <c r="E98" s="31">
        <v>5.349355621084432</v>
      </c>
      <c r="F98" s="31">
        <v>4.0561532320014164</v>
      </c>
      <c r="G98" s="31">
        <v>3.080372777189206</v>
      </c>
      <c r="H98" s="31">
        <v>2.3627374095736742</v>
      </c>
      <c r="I98" s="31">
        <v>1.850125471062197</v>
      </c>
      <c r="J98" s="31">
        <v>1.495570492543655</v>
      </c>
      <c r="K98" s="31">
        <v>1.25826119388849</v>
      </c>
      <c r="L98" s="31">
        <v>1.1035414839486151</v>
      </c>
      <c r="M98" s="31">
        <v>1.002910460557461</v>
      </c>
      <c r="N98" s="31">
        <v>0.93402241053000923</v>
      </c>
      <c r="O98" s="31">
        <v>0.88068680966272028</v>
      </c>
      <c r="P98" s="31">
        <v>0.8328683227335677</v>
      </c>
      <c r="Q98" s="31">
        <v>0.78668680350212838</v>
      </c>
      <c r="R98" s="32">
        <v>0.74441729470931506</v>
      </c>
    </row>
    <row r="99" spans="1:18" x14ac:dyDescent="0.25">
      <c r="A99" s="30">
        <v>448</v>
      </c>
      <c r="B99" s="31">
        <v>12.173092944537469</v>
      </c>
      <c r="C99" s="31">
        <v>9.4399898306819026</v>
      </c>
      <c r="D99" s="31">
        <v>7.249255679994385</v>
      </c>
      <c r="E99" s="31">
        <v>5.5223764694347484</v>
      </c>
      <c r="F99" s="31">
        <v>4.1869933649443443</v>
      </c>
      <c r="G99" s="31">
        <v>3.1769027214460261</v>
      </c>
      <c r="H99" s="31">
        <v>2.4320560828441748</v>
      </c>
      <c r="I99" s="31">
        <v>1.89856018202468</v>
      </c>
      <c r="J99" s="31">
        <v>1.528676940854943</v>
      </c>
      <c r="K99" s="31">
        <v>1.2808234701838921</v>
      </c>
      <c r="L99" s="31">
        <v>1.1195720698419649</v>
      </c>
      <c r="M99" s="31">
        <v>1.015650228641116</v>
      </c>
      <c r="N99" s="31">
        <v>0.9459406243748063</v>
      </c>
      <c r="O99" s="31">
        <v>0.89348112381805933</v>
      </c>
      <c r="P99" s="31">
        <v>0.8474647827272862</v>
      </c>
      <c r="Q99" s="31">
        <v>0.80323984584063624</v>
      </c>
      <c r="R99" s="32">
        <v>0.76230974687751285</v>
      </c>
    </row>
    <row r="100" spans="1:18" x14ac:dyDescent="0.25">
      <c r="A100" s="30">
        <v>468</v>
      </c>
      <c r="B100" s="31">
        <v>12.535812564753551</v>
      </c>
      <c r="C100" s="31">
        <v>9.7311359343468578</v>
      </c>
      <c r="D100" s="31">
        <v>7.4791004984037519</v>
      </c>
      <c r="E100" s="31">
        <v>5.7004206248625584</v>
      </c>
      <c r="F100" s="31">
        <v>4.321965870643135</v>
      </c>
      <c r="G100" s="31">
        <v>3.2767609816468579</v>
      </c>
      <c r="H100" s="31">
        <v>2.5039858927566141</v>
      </c>
      <c r="I100" s="31">
        <v>1.948975727836799</v>
      </c>
      <c r="J100" s="31">
        <v>1.5632207997333301</v>
      </c>
      <c r="K100" s="31">
        <v>1.3043666102736411</v>
      </c>
      <c r="L100" s="31">
        <v>1.1362138502666961</v>
      </c>
      <c r="M100" s="31">
        <v>1.0287183995029361</v>
      </c>
      <c r="N100" s="31">
        <v>0.95799132675435827</v>
      </c>
      <c r="O100" s="31">
        <v>0.9062988897744586</v>
      </c>
      <c r="P100" s="31">
        <v>0.86206253529821819</v>
      </c>
      <c r="Q100" s="31">
        <v>0.81985889904222353</v>
      </c>
      <c r="R100" s="32">
        <v>0.78041980570445457</v>
      </c>
    </row>
    <row r="101" spans="1:18" x14ac:dyDescent="0.25">
      <c r="A101" s="30">
        <v>488</v>
      </c>
      <c r="B101" s="31">
        <v>12.906783213364029</v>
      </c>
      <c r="C101" s="31">
        <v>10.029379058563199</v>
      </c>
      <c r="D101" s="31">
        <v>7.7149752070312534</v>
      </c>
      <c r="E101" s="31">
        <v>5.883514417685034</v>
      </c>
      <c r="F101" s="31">
        <v>4.4610946384229004</v>
      </c>
      <c r="G101" s="31">
        <v>3.3799690061247372</v>
      </c>
      <c r="H101" s="31">
        <v>2.5785458466519482</v>
      </c>
      <c r="I101" s="31">
        <v>2.0013886748474472</v>
      </c>
      <c r="J101" s="31">
        <v>1.5992161945356309</v>
      </c>
      <c r="K101" s="31">
        <v>1.328902298522485</v>
      </c>
      <c r="L101" s="31">
        <v>1.1534760685954739</v>
      </c>
      <c r="M101" s="31">
        <v>1.042121775523525</v>
      </c>
      <c r="N101" s="31">
        <v>0.97017887905717082</v>
      </c>
      <c r="O101" s="31">
        <v>0.9191420279283985</v>
      </c>
      <c r="P101" s="31">
        <v>0.87666105985071863</v>
      </c>
      <c r="Q101" s="31">
        <v>0.83654100151920108</v>
      </c>
      <c r="R101" s="32">
        <v>0.79874206861038732</v>
      </c>
    </row>
    <row r="102" spans="1:18" x14ac:dyDescent="0.25">
      <c r="A102" s="30">
        <v>508</v>
      </c>
      <c r="B102" s="31">
        <v>13.28603867714914</v>
      </c>
      <c r="C102" s="31">
        <v>10.334750549119089</v>
      </c>
      <c r="D102" s="31">
        <v>7.9569087106729803</v>
      </c>
      <c r="E102" s="31">
        <v>6.0716843117061821</v>
      </c>
      <c r="F102" s="31">
        <v>4.6044036910955644</v>
      </c>
      <c r="G102" s="31">
        <v>3.4865483766995218</v>
      </c>
      <c r="H102" s="31">
        <v>2.655755085357967</v>
      </c>
      <c r="I102" s="31">
        <v>2.055815722892314</v>
      </c>
      <c r="J102" s="31">
        <v>1.636677384105504</v>
      </c>
      <c r="K102" s="31">
        <v>1.3544423527819951</v>
      </c>
      <c r="L102" s="31">
        <v>1.1713681016877671</v>
      </c>
      <c r="M102" s="31">
        <v>1.0558672925702819</v>
      </c>
      <c r="N102" s="31">
        <v>0.98250777615855611</v>
      </c>
      <c r="O102" s="31">
        <v>0.93201259216311183</v>
      </c>
      <c r="P102" s="31">
        <v>0.89125996927595375</v>
      </c>
      <c r="Q102" s="31">
        <v>0.85328332517070016</v>
      </c>
      <c r="R102" s="32">
        <v>0.81727126650233095</v>
      </c>
    </row>
    <row r="103" spans="1:18" x14ac:dyDescent="0.25">
      <c r="A103" s="30">
        <v>528</v>
      </c>
      <c r="B103" s="31">
        <v>13.67361287637595</v>
      </c>
      <c r="C103" s="31">
        <v>10.647281885289511</v>
      </c>
      <c r="D103" s="31">
        <v>8.2049300476118461</v>
      </c>
      <c r="E103" s="31">
        <v>6.2649569042168496</v>
      </c>
      <c r="F103" s="31">
        <v>4.7519171849599049</v>
      </c>
      <c r="G103" s="31">
        <v>3.5965208086779121</v>
      </c>
      <c r="H103" s="31">
        <v>2.735632883189286</v>
      </c>
      <c r="I103" s="31">
        <v>2.1122737052939642</v>
      </c>
      <c r="J103" s="31">
        <v>1.675618760773401</v>
      </c>
      <c r="K103" s="31">
        <v>1.380998724390553</v>
      </c>
      <c r="L103" s="31">
        <v>1.189899459889908</v>
      </c>
      <c r="M103" s="31">
        <v>1.069962019997464</v>
      </c>
      <c r="N103" s="31">
        <v>0.99498264642071643</v>
      </c>
      <c r="O103" s="31">
        <v>0.94491276984872397</v>
      </c>
      <c r="P103" s="31">
        <v>0.90585900995199253</v>
      </c>
      <c r="Q103" s="31">
        <v>0.87008317538263191</v>
      </c>
      <c r="R103" s="32">
        <v>0.83600226377415499</v>
      </c>
    </row>
    <row r="104" spans="1:18" x14ac:dyDescent="0.25">
      <c r="A104" s="30">
        <v>548</v>
      </c>
      <c r="B104" s="31">
        <v>14.06953986479833</v>
      </c>
      <c r="C104" s="31">
        <v>10.96700467983624</v>
      </c>
      <c r="D104" s="31">
        <v>8.459068389617558</v>
      </c>
      <c r="E104" s="31">
        <v>6.4633589259946653</v>
      </c>
      <c r="F104" s="31">
        <v>4.9036594098014668</v>
      </c>
      <c r="G104" s="31">
        <v>3.7099081508533698</v>
      </c>
      <c r="H104" s="31">
        <v>2.818198647947304</v>
      </c>
      <c r="I104" s="31">
        <v>2.170779588861719</v>
      </c>
      <c r="J104" s="31">
        <v>1.716054850356562</v>
      </c>
      <c r="K104" s="31">
        <v>1.408583498173331</v>
      </c>
      <c r="L104" s="31">
        <v>1.209079787034993</v>
      </c>
      <c r="M104" s="31">
        <v>1.084413160646083</v>
      </c>
      <c r="N104" s="31">
        <v>1.007608251692599</v>
      </c>
      <c r="O104" s="31">
        <v>0.95784488184208905</v>
      </c>
      <c r="P104" s="31">
        <v>0.92045806174360922</v>
      </c>
      <c r="Q104" s="31">
        <v>0.88693799102774307</v>
      </c>
      <c r="R104" s="32">
        <v>0.8549300583065359</v>
      </c>
    </row>
    <row r="105" spans="1:18" x14ac:dyDescent="0.25">
      <c r="A105" s="30">
        <v>568</v>
      </c>
      <c r="B105" s="31">
        <v>14.47385382965696</v>
      </c>
      <c r="C105" s="31">
        <v>11.29395067900791</v>
      </c>
      <c r="D105" s="31">
        <v>8.7193530419466594</v>
      </c>
      <c r="E105" s="31">
        <v>6.6669172413041089</v>
      </c>
      <c r="F105" s="31">
        <v>5.059654788892666</v>
      </c>
      <c r="G105" s="31">
        <v>3.8267323855062418</v>
      </c>
      <c r="H105" s="31">
        <v>2.903471920920293</v>
      </c>
      <c r="I105" s="31">
        <v>2.2313504738917671</v>
      </c>
      <c r="J105" s="31">
        <v>1.7580003121591301</v>
      </c>
      <c r="K105" s="31">
        <v>1.437208892442378</v>
      </c>
      <c r="L105" s="31">
        <v>1.228918860443009</v>
      </c>
      <c r="M105" s="31">
        <v>1.0992280508440579</v>
      </c>
      <c r="N105" s="31">
        <v>1.020389487310013</v>
      </c>
      <c r="O105" s="31">
        <v>0.97081138248697496</v>
      </c>
      <c r="P105" s="31">
        <v>0.93505713800246681</v>
      </c>
      <c r="Q105" s="31">
        <v>0.90384534446561537</v>
      </c>
      <c r="R105" s="32">
        <v>0.87404978146697232</v>
      </c>
    </row>
    <row r="106" spans="1:18" x14ac:dyDescent="0.25">
      <c r="A106" s="30">
        <v>588</v>
      </c>
      <c r="B106" s="31">
        <v>14.88658909167936</v>
      </c>
      <c r="C106" s="31">
        <v>11.62815176253997</v>
      </c>
      <c r="D106" s="31">
        <v>8.9858134433425381</v>
      </c>
      <c r="E106" s="31">
        <v>6.875658847896478</v>
      </c>
      <c r="F106" s="31">
        <v>5.2199278789927144</v>
      </c>
      <c r="G106" s="31">
        <v>3.9470156284036739</v>
      </c>
      <c r="H106" s="31">
        <v>2.9914723768833129</v>
      </c>
      <c r="I106" s="31">
        <v>2.2940035941671</v>
      </c>
      <c r="J106" s="31">
        <v>1.801469938972007</v>
      </c>
      <c r="K106" s="31">
        <v>1.466887258996536</v>
      </c>
      <c r="L106" s="31">
        <v>1.249426590920711</v>
      </c>
      <c r="M106" s="31">
        <v>1.1144141604060349</v>
      </c>
      <c r="N106" s="31">
        <v>1.0333313820956</v>
      </c>
      <c r="O106" s="31">
        <v>0.98381485961391157</v>
      </c>
      <c r="P106" s="31">
        <v>0.94965638556704579</v>
      </c>
      <c r="Q106" s="31">
        <v>0.92080294154266062</v>
      </c>
      <c r="R106" s="32">
        <v>0.89335669810979812</v>
      </c>
    </row>
    <row r="107" spans="1:18" x14ac:dyDescent="0.25">
      <c r="A107" s="30">
        <v>608</v>
      </c>
      <c r="B107" s="31">
        <v>15.307780105079891</v>
      </c>
      <c r="C107" s="31">
        <v>11.96963994365467</v>
      </c>
      <c r="D107" s="31">
        <v>9.2584791660353627</v>
      </c>
      <c r="E107" s="31">
        <v>7.0896108770098776</v>
      </c>
      <c r="F107" s="31">
        <v>5.384503370347649</v>
      </c>
      <c r="G107" s="31">
        <v>4.0707801287996226</v>
      </c>
      <c r="H107" s="31">
        <v>3.0822198240982619</v>
      </c>
      <c r="I107" s="31">
        <v>2.3587563169575381</v>
      </c>
      <c r="J107" s="31">
        <v>1.8464786570729359</v>
      </c>
      <c r="K107" s="31">
        <v>1.497631083121481</v>
      </c>
      <c r="L107" s="31">
        <v>1.270613022761689</v>
      </c>
      <c r="M107" s="31">
        <v>1.129979092633592</v>
      </c>
      <c r="N107" s="31">
        <v>1.046439098358757</v>
      </c>
      <c r="O107" s="31">
        <v>0.99685803454027433</v>
      </c>
      <c r="P107" s="31">
        <v>0.96425608476265978</v>
      </c>
      <c r="Q107" s="31">
        <v>0.93780862159213252</v>
      </c>
      <c r="R107" s="32">
        <v>0.91284620657617666</v>
      </c>
    </row>
    <row r="108" spans="1:18" x14ac:dyDescent="0.25">
      <c r="A108" s="30">
        <v>628</v>
      </c>
      <c r="B108" s="31">
        <v>15.737461457559681</v>
      </c>
      <c r="C108" s="31">
        <v>12.31844736906111</v>
      </c>
      <c r="D108" s="31">
        <v>9.5373799157421519</v>
      </c>
      <c r="E108" s="31">
        <v>7.3088005933692539</v>
      </c>
      <c r="F108" s="31">
        <v>5.5534060866903454</v>
      </c>
      <c r="G108" s="31">
        <v>4.1980482694348842</v>
      </c>
      <c r="H108" s="31">
        <v>3.1757342043138488</v>
      </c>
      <c r="I108" s="31">
        <v>2.4256261430197101</v>
      </c>
      <c r="J108" s="31">
        <v>1.8930415262264859</v>
      </c>
      <c r="K108" s="31">
        <v>1.5294529835896931</v>
      </c>
      <c r="L108" s="31">
        <v>1.2924883337463711</v>
      </c>
      <c r="M108" s="31">
        <v>1.14593058431505</v>
      </c>
      <c r="N108" s="31">
        <v>1.059717931895815</v>
      </c>
      <c r="O108" s="31">
        <v>1.0099437620702501</v>
      </c>
      <c r="P108" s="31">
        <v>0.97885664940142214</v>
      </c>
      <c r="Q108" s="31">
        <v>0.95486035743398634</v>
      </c>
      <c r="R108" s="32">
        <v>0.93251383869403526</v>
      </c>
    </row>
    <row r="109" spans="1:18" x14ac:dyDescent="0.25">
      <c r="A109" s="30">
        <v>648</v>
      </c>
      <c r="B109" s="31">
        <v>16.175667870306729</v>
      </c>
      <c r="C109" s="31">
        <v>12.674606318955179</v>
      </c>
      <c r="D109" s="31">
        <v>9.8225455316667425</v>
      </c>
      <c r="E109" s="31">
        <v>7.5332553951863588</v>
      </c>
      <c r="F109" s="31">
        <v>5.7266609852404828</v>
      </c>
      <c r="G109" s="31">
        <v>4.3288425665370687</v>
      </c>
      <c r="H109" s="31">
        <v>3.2720355927656049</v>
      </c>
      <c r="I109" s="31">
        <v>2.4946307065970919</v>
      </c>
      <c r="J109" s="31">
        <v>1.9411737396840421</v>
      </c>
      <c r="K109" s="31">
        <v>1.5623657126605019</v>
      </c>
      <c r="L109" s="31">
        <v>1.315062835141978</v>
      </c>
      <c r="M109" s="31">
        <v>1.16227650572556</v>
      </c>
      <c r="N109" s="31">
        <v>1.073173311989827</v>
      </c>
      <c r="O109" s="31">
        <v>1.023075030494869</v>
      </c>
      <c r="P109" s="31">
        <v>0.99345862678225672</v>
      </c>
      <c r="Q109" s="31">
        <v>0.97195625537518282</v>
      </c>
      <c r="R109" s="32">
        <v>0.95235525977821567</v>
      </c>
    </row>
    <row r="110" spans="1:18" x14ac:dyDescent="0.25">
      <c r="A110" s="30">
        <v>668</v>
      </c>
      <c r="B110" s="31">
        <v>16.62243419799583</v>
      </c>
      <c r="C110" s="31">
        <v>13.038149207019631</v>
      </c>
      <c r="D110" s="31">
        <v>10.114005986499791</v>
      </c>
      <c r="E110" s="31">
        <v>7.7630028141597833</v>
      </c>
      <c r="F110" s="31">
        <v>5.9042931567045578</v>
      </c>
      <c r="G110" s="31">
        <v>4.4631856698205992</v>
      </c>
      <c r="H110" s="31">
        <v>3.3711441981758981</v>
      </c>
      <c r="I110" s="31">
        <v>2.5657877754199649</v>
      </c>
      <c r="J110" s="31">
        <v>1.9908906241838169</v>
      </c>
      <c r="K110" s="31">
        <v>1.5963821560800051</v>
      </c>
      <c r="L110" s="31">
        <v>1.33834697170259</v>
      </c>
      <c r="M110" s="31">
        <v>1.179024860627113</v>
      </c>
      <c r="N110" s="31">
        <v>1.0868108014106961</v>
      </c>
      <c r="O110" s="31">
        <v>1.0362549615919401</v>
      </c>
      <c r="P110" s="31">
        <v>1.0080626976909211</v>
      </c>
      <c r="Q110" s="31">
        <v>0.98909455520934819</v>
      </c>
      <c r="R110" s="32">
        <v>0.97236626863028175</v>
      </c>
    </row>
    <row r="111" spans="1:18" x14ac:dyDescent="0.25">
      <c r="A111" s="30">
        <v>688</v>
      </c>
      <c r="B111" s="31">
        <v>17.07779542878863</v>
      </c>
      <c r="C111" s="31">
        <v>13.409108580423981</v>
      </c>
      <c r="D111" s="31">
        <v>10.411791386418759</v>
      </c>
      <c r="E111" s="31">
        <v>7.9980705154749074</v>
      </c>
      <c r="F111" s="31">
        <v>6.086327825275899</v>
      </c>
      <c r="G111" s="31">
        <v>4.6011003624867257</v>
      </c>
      <c r="H111" s="31">
        <v>3.4730803627538909</v>
      </c>
      <c r="I111" s="31">
        <v>2.6391152507054199</v>
      </c>
      <c r="J111" s="31">
        <v>2.0422076399508282</v>
      </c>
      <c r="K111" s="31">
        <v>1.631515333081182</v>
      </c>
      <c r="L111" s="31">
        <v>1.3623513216690619</v>
      </c>
      <c r="M111" s="31">
        <v>1.196183786268517</v>
      </c>
      <c r="N111" s="31">
        <v>1.1006360964151729</v>
      </c>
      <c r="O111" s="31">
        <v>1.049486810626139</v>
      </c>
      <c r="P111" s="31">
        <v>1.0226696764000069</v>
      </c>
      <c r="Q111" s="31">
        <v>1.006273630217017</v>
      </c>
      <c r="R111" s="32">
        <v>0.99254279753868246</v>
      </c>
    </row>
    <row r="112" spans="1:18" x14ac:dyDescent="0.25">
      <c r="A112" s="30">
        <v>708</v>
      </c>
      <c r="B112" s="31">
        <v>17.541786684333552</v>
      </c>
      <c r="C112" s="31">
        <v>13.78751711982464</v>
      </c>
      <c r="D112" s="31">
        <v>10.71593197108796</v>
      </c>
      <c r="E112" s="31">
        <v>8.2384862978039717</v>
      </c>
      <c r="F112" s="31">
        <v>6.2727903486346666</v>
      </c>
      <c r="G112" s="31">
        <v>4.7426095612235333</v>
      </c>
      <c r="H112" s="31">
        <v>3.577864562195602</v>
      </c>
      <c r="I112" s="31">
        <v>2.7146311671573851</v>
      </c>
      <c r="J112" s="31">
        <v>2.0951403806969329</v>
      </c>
      <c r="K112" s="31">
        <v>1.6677783963838111</v>
      </c>
      <c r="L112" s="31">
        <v>1.3870865967691111</v>
      </c>
      <c r="M112" s="31">
        <v>1.2137615533853949</v>
      </c>
      <c r="N112" s="31">
        <v>1.1146550267468029</v>
      </c>
      <c r="O112" s="31">
        <v>1.0627739663489351</v>
      </c>
      <c r="P112" s="31">
        <v>1.0372805106689289</v>
      </c>
      <c r="Q112" s="31">
        <v>1.023491987165486</v>
      </c>
      <c r="R112" s="32">
        <v>1.0128809122787039</v>
      </c>
    </row>
    <row r="113" spans="1:18" x14ac:dyDescent="0.25">
      <c r="A113" s="30">
        <v>728</v>
      </c>
      <c r="B113" s="31">
        <v>18.014443219765859</v>
      </c>
      <c r="C113" s="31">
        <v>14.17340763936477</v>
      </c>
      <c r="D113" s="31">
        <v>11.026458113658499</v>
      </c>
      <c r="E113" s="31">
        <v>8.4842780933060187</v>
      </c>
      <c r="F113" s="31">
        <v>6.46370621794782</v>
      </c>
      <c r="G113" s="31">
        <v>4.887736316205916</v>
      </c>
      <c r="H113" s="31">
        <v>3.6855174056838349</v>
      </c>
      <c r="I113" s="31">
        <v>2.7923536929666088</v>
      </c>
      <c r="J113" s="31">
        <v>2.1497045736207978</v>
      </c>
      <c r="K113" s="31">
        <v>1.7051846321944879</v>
      </c>
      <c r="L113" s="31">
        <v>1.4125636422172669</v>
      </c>
      <c r="M113" s="31">
        <v>1.231766566200198</v>
      </c>
      <c r="N113" s="31">
        <v>1.128873555635957</v>
      </c>
      <c r="O113" s="31">
        <v>1.076119950998639</v>
      </c>
      <c r="P113" s="31">
        <v>1.051896281743901</v>
      </c>
      <c r="Q113" s="31">
        <v>1.040748266308924</v>
      </c>
      <c r="R113" s="32">
        <v>1.0333768121123941</v>
      </c>
    </row>
    <row r="114" spans="1:18" x14ac:dyDescent="0.25">
      <c r="A114" s="30">
        <v>748</v>
      </c>
      <c r="B114" s="31">
        <v>18.495800423707671</v>
      </c>
      <c r="C114" s="31">
        <v>14.56681308667441</v>
      </c>
      <c r="D114" s="31">
        <v>11.343400320768341</v>
      </c>
      <c r="E114" s="31">
        <v>8.735473967626918</v>
      </c>
      <c r="F114" s="31">
        <v>6.6591010578691634</v>
      </c>
      <c r="G114" s="31">
        <v>5.0365038110955922</v>
      </c>
      <c r="H114" s="31">
        <v>3.7960596358882501</v>
      </c>
      <c r="I114" s="31">
        <v>2.872301129810682</v>
      </c>
      <c r="J114" s="31">
        <v>2.2059160794079502</v>
      </c>
      <c r="K114" s="31">
        <v>1.743747460206643</v>
      </c>
      <c r="L114" s="31">
        <v>1.4387934367148669</v>
      </c>
      <c r="M114" s="31">
        <v>1.2502073624222201</v>
      </c>
      <c r="N114" s="31">
        <v>1.1432977797998449</v>
      </c>
      <c r="O114" s="31">
        <v>1.089528420300393</v>
      </c>
      <c r="P114" s="31">
        <v>1.0665182043579939</v>
      </c>
      <c r="Q114" s="31">
        <v>1.058041241388374</v>
      </c>
      <c r="R114" s="32">
        <v>1.0540268297886679</v>
      </c>
    </row>
    <row r="115" spans="1:18" x14ac:dyDescent="0.25">
      <c r="A115" s="33">
        <v>768</v>
      </c>
      <c r="B115" s="34">
        <v>18.985893818267861</v>
      </c>
      <c r="C115" s="34">
        <v>14.96776654287039</v>
      </c>
      <c r="D115" s="34">
        <v>11.6667892325422</v>
      </c>
      <c r="E115" s="34">
        <v>8.9921021198993412</v>
      </c>
      <c r="F115" s="34">
        <v>6.8590006265392951</v>
      </c>
      <c r="G115" s="34">
        <v>5.1889353630410922</v>
      </c>
      <c r="H115" s="34">
        <v>3.909512128965297</v>
      </c>
      <c r="I115" s="34">
        <v>2.9544919128539648</v>
      </c>
      <c r="J115" s="34">
        <v>2.263790892230654</v>
      </c>
      <c r="K115" s="34">
        <v>1.7834804336004919</v>
      </c>
      <c r="L115" s="34">
        <v>1.4657870924500771</v>
      </c>
      <c r="M115" s="34">
        <v>1.269092613247526</v>
      </c>
      <c r="N115" s="34">
        <v>1.1579339294424751</v>
      </c>
      <c r="O115" s="34">
        <v>1.103003163466123</v>
      </c>
      <c r="P115" s="34">
        <v>1.0811476267310309</v>
      </c>
      <c r="Q115" s="34">
        <v>1.075369819631532</v>
      </c>
      <c r="R115" s="35">
        <v>1.07482743154322</v>
      </c>
    </row>
    <row r="118" spans="1:18" ht="28.9" customHeight="1" x14ac:dyDescent="0.5">
      <c r="A118" s="1" t="s">
        <v>30</v>
      </c>
    </row>
    <row r="119" spans="1:18" ht="32.1" customHeight="1" x14ac:dyDescent="0.25"/>
    <row r="120" spans="1:18" x14ac:dyDescent="0.25">
      <c r="A120" s="2"/>
      <c r="B120" s="3"/>
      <c r="C120" s="3"/>
      <c r="D120" s="4"/>
    </row>
    <row r="121" spans="1:18" x14ac:dyDescent="0.25">
      <c r="A121" s="5" t="s">
        <v>31</v>
      </c>
      <c r="B121" s="6">
        <v>3.5</v>
      </c>
      <c r="C121" s="6" t="s">
        <v>11</v>
      </c>
      <c r="D121" s="7"/>
    </row>
    <row r="122" spans="1:18" x14ac:dyDescent="0.25">
      <c r="A122" s="8"/>
      <c r="B122" s="9"/>
      <c r="C122" s="9"/>
      <c r="D122" s="10"/>
    </row>
    <row r="125" spans="1:18" ht="48" customHeight="1" x14ac:dyDescent="0.25">
      <c r="A125" s="21" t="s">
        <v>32</v>
      </c>
      <c r="B125" s="23" t="s">
        <v>33</v>
      </c>
    </row>
    <row r="126" spans="1:18" x14ac:dyDescent="0.25">
      <c r="A126" s="5">
        <v>0</v>
      </c>
      <c r="B126" s="32">
        <v>0.22</v>
      </c>
    </row>
    <row r="127" spans="1:18" x14ac:dyDescent="0.25">
      <c r="A127" s="5">
        <v>0.125</v>
      </c>
      <c r="B127" s="32">
        <v>0.23302500000000001</v>
      </c>
    </row>
    <row r="128" spans="1:18" x14ac:dyDescent="0.25">
      <c r="A128" s="5">
        <v>0.25</v>
      </c>
      <c r="B128" s="32">
        <v>0.16002777777777791</v>
      </c>
    </row>
    <row r="129" spans="1:2" x14ac:dyDescent="0.25">
      <c r="A129" s="5">
        <v>0.375</v>
      </c>
      <c r="B129" s="32">
        <v>6.0026785714285547E-2</v>
      </c>
    </row>
    <row r="130" spans="1:2" x14ac:dyDescent="0.25">
      <c r="A130" s="5">
        <v>0.5</v>
      </c>
      <c r="B130" s="32">
        <v>5.0100000000000033E-2</v>
      </c>
    </row>
    <row r="131" spans="1:2" x14ac:dyDescent="0.25">
      <c r="A131" s="5">
        <v>0.625</v>
      </c>
      <c r="B131" s="32">
        <v>2.4293333333333281E-2</v>
      </c>
    </row>
    <row r="132" spans="1:2" x14ac:dyDescent="0.25">
      <c r="A132" s="5">
        <v>0.75</v>
      </c>
      <c r="B132" s="32">
        <v>-1.154166666666656E-2</v>
      </c>
    </row>
    <row r="133" spans="1:2" x14ac:dyDescent="0.25">
      <c r="A133" s="5">
        <v>0.875</v>
      </c>
      <c r="B133" s="32">
        <v>-2.7189393939393899E-2</v>
      </c>
    </row>
    <row r="134" spans="1:2" x14ac:dyDescent="0.25">
      <c r="A134" s="5">
        <v>1</v>
      </c>
      <c r="B134" s="32">
        <v>-3.7659574468084989E-2</v>
      </c>
    </row>
    <row r="135" spans="1:2" x14ac:dyDescent="0.25">
      <c r="A135" s="5">
        <v>1.125</v>
      </c>
      <c r="B135" s="32">
        <v>-3.9202127659574537E-2</v>
      </c>
    </row>
    <row r="136" spans="1:2" x14ac:dyDescent="0.25">
      <c r="A136" s="5">
        <v>1.25</v>
      </c>
      <c r="B136" s="32">
        <v>-3.9021739130434829E-2</v>
      </c>
    </row>
    <row r="137" spans="1:2" x14ac:dyDescent="0.25">
      <c r="A137" s="5">
        <v>1.375</v>
      </c>
      <c r="B137" s="32">
        <v>-3.7880434782608829E-2</v>
      </c>
    </row>
    <row r="138" spans="1:2" x14ac:dyDescent="0.25">
      <c r="A138" s="5">
        <v>1.5</v>
      </c>
      <c r="B138" s="32">
        <v>-3.5227272727272878E-2</v>
      </c>
    </row>
    <row r="139" spans="1:2" x14ac:dyDescent="0.25">
      <c r="A139" s="5">
        <v>1.625</v>
      </c>
      <c r="B139" s="32">
        <v>-2.835227272727282E-2</v>
      </c>
    </row>
    <row r="140" spans="1:2" x14ac:dyDescent="0.25">
      <c r="A140" s="5">
        <v>1.75</v>
      </c>
      <c r="B140" s="32">
        <v>-2.1477272727272959E-2</v>
      </c>
    </row>
    <row r="141" spans="1:2" x14ac:dyDescent="0.25">
      <c r="A141" s="5">
        <v>1.875</v>
      </c>
      <c r="B141" s="32">
        <v>-1.4602272727272891E-2</v>
      </c>
    </row>
    <row r="142" spans="1:2" x14ac:dyDescent="0.25">
      <c r="A142" s="5">
        <v>2</v>
      </c>
      <c r="B142" s="32">
        <v>-9.5143487858722064E-3</v>
      </c>
    </row>
    <row r="143" spans="1:2" x14ac:dyDescent="0.25">
      <c r="A143" s="5">
        <v>2.125</v>
      </c>
      <c r="B143" s="32">
        <v>-6.4238410596029194E-3</v>
      </c>
    </row>
    <row r="144" spans="1:2" x14ac:dyDescent="0.25">
      <c r="A144" s="5">
        <v>2.25</v>
      </c>
      <c r="B144" s="32">
        <v>-3.3333333333336319E-3</v>
      </c>
    </row>
    <row r="145" spans="1:2" x14ac:dyDescent="0.25">
      <c r="A145" s="5">
        <v>2.375</v>
      </c>
      <c r="B145" s="32">
        <v>-2.4282560706434531E-4</v>
      </c>
    </row>
    <row r="146" spans="1:2" x14ac:dyDescent="0.25">
      <c r="A146" s="5">
        <v>2.5</v>
      </c>
      <c r="B146" s="32">
        <v>2.8476821192049422E-3</v>
      </c>
    </row>
    <row r="147" spans="1:2" x14ac:dyDescent="0.25">
      <c r="A147" s="5">
        <v>2.625</v>
      </c>
      <c r="B147" s="32">
        <v>5.9381898454742288E-3</v>
      </c>
    </row>
    <row r="148" spans="1:2" x14ac:dyDescent="0.25">
      <c r="A148" s="5">
        <v>2.75</v>
      </c>
      <c r="B148" s="32">
        <v>9.0286975717435158E-3</v>
      </c>
    </row>
    <row r="149" spans="1:2" x14ac:dyDescent="0.25">
      <c r="A149" s="5">
        <v>2.875</v>
      </c>
      <c r="B149" s="32">
        <v>1.211920529801302E-2</v>
      </c>
    </row>
    <row r="150" spans="1:2" x14ac:dyDescent="0.25">
      <c r="A150" s="5">
        <v>3</v>
      </c>
      <c r="B150" s="32">
        <v>1.195329087048802E-2</v>
      </c>
    </row>
    <row r="151" spans="1:2" x14ac:dyDescent="0.25">
      <c r="A151" s="5">
        <v>3.125</v>
      </c>
      <c r="B151" s="32">
        <v>1.0148619957537131E-2</v>
      </c>
    </row>
    <row r="152" spans="1:2" x14ac:dyDescent="0.25">
      <c r="A152" s="5">
        <v>3.25</v>
      </c>
      <c r="B152" s="32">
        <v>8.3439490445853526E-3</v>
      </c>
    </row>
    <row r="153" spans="1:2" x14ac:dyDescent="0.25">
      <c r="A153" s="5">
        <v>3.375</v>
      </c>
      <c r="B153" s="32">
        <v>6.5392781316344628E-3</v>
      </c>
    </row>
    <row r="154" spans="1:2" x14ac:dyDescent="0.25">
      <c r="A154" s="5">
        <v>3.5</v>
      </c>
      <c r="B154" s="32">
        <v>0</v>
      </c>
    </row>
    <row r="155" spans="1:2" x14ac:dyDescent="0.25">
      <c r="A155" s="5">
        <v>3.625</v>
      </c>
      <c r="B155" s="32">
        <v>0</v>
      </c>
    </row>
    <row r="156" spans="1:2" x14ac:dyDescent="0.25">
      <c r="A156" s="5">
        <v>3.75</v>
      </c>
      <c r="B156" s="32">
        <v>0</v>
      </c>
    </row>
    <row r="157" spans="1:2" x14ac:dyDescent="0.25">
      <c r="A157" s="5">
        <v>3.875</v>
      </c>
      <c r="B157" s="32">
        <v>0</v>
      </c>
    </row>
    <row r="158" spans="1:2" x14ac:dyDescent="0.25">
      <c r="A158" s="8">
        <v>4</v>
      </c>
      <c r="B158" s="35">
        <v>0</v>
      </c>
    </row>
  </sheetData>
  <sheetProtection algorithmName="SHA-512" hashValue="qjffIna+XER/dIe/TgGzWoiZmeHXmySCG++w9lr7krLrfpM7tgquSXwW7yg+mLxLRkwhNv/r8AicGwNFd+mpfA==" saltValue="GAJvdkvIPqJH/oiAFTy1Sg==" spinCount="100000" sheet="1" objects="1" scenarios="1"/>
  <protectedRanges>
    <protectedRange sqref="B36" name="Range1"/>
  </protectedRange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5:AH126"/>
  <sheetViews>
    <sheetView tabSelected="1" workbookViewId="0">
      <selection activeCell="B36" sqref="B36"/>
    </sheetView>
  </sheetViews>
  <sheetFormatPr defaultRowHeight="15" x14ac:dyDescent="0.25"/>
  <cols>
    <col min="1" max="1" width="30.7109375" customWidth="1"/>
  </cols>
  <sheetData>
    <row r="15" spans="1:4" ht="28.9" customHeight="1" x14ac:dyDescent="0.5">
      <c r="A15" s="1" t="s">
        <v>41</v>
      </c>
      <c r="B15" s="1"/>
    </row>
    <row r="16" spans="1:4" x14ac:dyDescent="0.25">
      <c r="A16" s="2"/>
      <c r="B16" s="3"/>
      <c r="C16" s="3"/>
      <c r="D16" s="4"/>
    </row>
    <row r="17" spans="1:4" x14ac:dyDescent="0.25">
      <c r="A17" s="5" t="s">
        <v>1</v>
      </c>
      <c r="B17" s="6" t="s">
        <v>43</v>
      </c>
      <c r="C17" s="6"/>
      <c r="D17" s="7"/>
    </row>
    <row r="18" spans="1:4" x14ac:dyDescent="0.25">
      <c r="A18" s="5" t="s">
        <v>2</v>
      </c>
      <c r="B18" s="6" t="s">
        <v>3</v>
      </c>
      <c r="C18" s="6"/>
      <c r="D18" s="7"/>
    </row>
    <row r="19" spans="1:4" x14ac:dyDescent="0.25">
      <c r="A19" s="5" t="s">
        <v>4</v>
      </c>
      <c r="B19" s="6" t="s">
        <v>5</v>
      </c>
      <c r="C19" s="6"/>
      <c r="D19" s="7"/>
    </row>
    <row r="20" spans="1:4" x14ac:dyDescent="0.25">
      <c r="A20" s="8"/>
      <c r="B20" s="9"/>
      <c r="C20" s="9"/>
      <c r="D20" s="10"/>
    </row>
    <row r="22" spans="1:4" x14ac:dyDescent="0.25">
      <c r="A22" s="2"/>
      <c r="B22" s="11"/>
      <c r="C22" s="11"/>
      <c r="D22" s="12"/>
    </row>
    <row r="23" spans="1:4" x14ac:dyDescent="0.25">
      <c r="A23" s="5" t="s">
        <v>6</v>
      </c>
      <c r="B23" s="13">
        <v>300</v>
      </c>
      <c r="C23" s="13" t="s">
        <v>7</v>
      </c>
      <c r="D23" s="14"/>
    </row>
    <row r="24" spans="1:4" x14ac:dyDescent="0.25">
      <c r="A24" s="5" t="s">
        <v>8</v>
      </c>
      <c r="B24" s="13">
        <v>14</v>
      </c>
      <c r="C24" s="13" t="s">
        <v>9</v>
      </c>
      <c r="D24" s="14"/>
    </row>
    <row r="25" spans="1:4" x14ac:dyDescent="0.25">
      <c r="A25" s="8"/>
      <c r="B25" s="15"/>
      <c r="C25" s="15"/>
      <c r="D25" s="16"/>
    </row>
    <row r="29" spans="1:4" x14ac:dyDescent="0.25">
      <c r="A29" s="2"/>
      <c r="B29" s="3"/>
      <c r="C29" s="3"/>
      <c r="D29" s="4"/>
    </row>
    <row r="30" spans="1:4" x14ac:dyDescent="0.25">
      <c r="A30" s="5" t="s">
        <v>10</v>
      </c>
      <c r="B30" s="6">
        <v>0.31000000000000011</v>
      </c>
      <c r="C30" s="6" t="s">
        <v>11</v>
      </c>
      <c r="D30" s="7"/>
    </row>
    <row r="31" spans="1:4" x14ac:dyDescent="0.25">
      <c r="A31" s="8"/>
      <c r="B31" s="9"/>
      <c r="C31" s="9"/>
      <c r="D31" s="10"/>
    </row>
    <row r="34" spans="1:5" ht="28.9" customHeight="1" x14ac:dyDescent="0.5">
      <c r="A34" s="1" t="s">
        <v>12</v>
      </c>
    </row>
    <row r="36" spans="1:5" x14ac:dyDescent="0.25">
      <c r="A36" s="17" t="s">
        <v>13</v>
      </c>
      <c r="B36" s="17">
        <v>100</v>
      </c>
      <c r="C36" s="17" t="s">
        <v>14</v>
      </c>
      <c r="D36" s="17" t="s">
        <v>15</v>
      </c>
      <c r="E36" s="17"/>
    </row>
    <row r="37" spans="1:5" hidden="1" x14ac:dyDescent="0.25">
      <c r="A37" s="17" t="s">
        <v>16</v>
      </c>
      <c r="B37" s="17">
        <v>14.7</v>
      </c>
      <c r="C37" s="17"/>
      <c r="D37" s="17" t="s">
        <v>15</v>
      </c>
      <c r="E37" s="17"/>
    </row>
    <row r="38" spans="1:5" hidden="1" x14ac:dyDescent="0.25">
      <c r="A38" s="17" t="s">
        <v>17</v>
      </c>
      <c r="B38" s="17">
        <v>9.0079999999999991</v>
      </c>
      <c r="C38" s="17"/>
      <c r="D38" s="17" t="s">
        <v>15</v>
      </c>
      <c r="E38" s="17"/>
    </row>
    <row r="40" spans="1:5" ht="48" customHeight="1" x14ac:dyDescent="0.25">
      <c r="A40" s="18" t="s">
        <v>18</v>
      </c>
      <c r="B40" s="19" t="s">
        <v>19</v>
      </c>
      <c r="C40" s="19" t="s">
        <v>20</v>
      </c>
      <c r="D40" s="19" t="s">
        <v>21</v>
      </c>
      <c r="E40" s="20" t="s">
        <v>22</v>
      </c>
    </row>
    <row r="41" spans="1:5" x14ac:dyDescent="0.25">
      <c r="A41" s="5">
        <v>-80</v>
      </c>
      <c r="B41" s="6">
        <v>69.343498121659991</v>
      </c>
      <c r="C41" s="6">
        <f>69.3434981216599 * $B$36 / 100</f>
        <v>69.343498121659906</v>
      </c>
      <c r="D41" s="6">
        <v>8.7371266666666667</v>
      </c>
      <c r="E41" s="7">
        <f>8.73712666666666 * $B$36 / 100</f>
        <v>8.7371266666666596</v>
      </c>
    </row>
    <row r="42" spans="1:5" x14ac:dyDescent="0.25">
      <c r="A42" s="5">
        <v>-70</v>
      </c>
      <c r="B42" s="6">
        <v>70.396995537840183</v>
      </c>
      <c r="C42" s="6">
        <f>70.3969955378401 * $B$36 / 100</f>
        <v>70.396995537840098</v>
      </c>
      <c r="D42" s="6">
        <v>8.8698650000000008</v>
      </c>
      <c r="E42" s="7">
        <f>8.869865 * $B$36 / 100</f>
        <v>8.8698650000000008</v>
      </c>
    </row>
    <row r="43" spans="1:5" x14ac:dyDescent="0.25">
      <c r="A43" s="5">
        <v>-60</v>
      </c>
      <c r="B43" s="6">
        <v>71.450492954020362</v>
      </c>
      <c r="C43" s="6">
        <f>71.4504929540203 * $B$36 / 100</f>
        <v>71.450492954020305</v>
      </c>
      <c r="D43" s="6">
        <v>9.0026033333333348</v>
      </c>
      <c r="E43" s="7">
        <f>9.00260333333333 * $B$36 / 100</f>
        <v>9.0026033333333295</v>
      </c>
    </row>
    <row r="44" spans="1:5" x14ac:dyDescent="0.25">
      <c r="A44" s="5">
        <v>-50</v>
      </c>
      <c r="B44" s="6">
        <v>72.50399037020054</v>
      </c>
      <c r="C44" s="6">
        <f>72.5039903702005 * $B$36 / 100</f>
        <v>72.503990370200498</v>
      </c>
      <c r="D44" s="6">
        <v>9.1353416666666671</v>
      </c>
      <c r="E44" s="7">
        <f>9.13534166666666 * $B$36 / 100</f>
        <v>9.13534166666666</v>
      </c>
    </row>
    <row r="45" spans="1:5" x14ac:dyDescent="0.25">
      <c r="A45" s="5">
        <v>-40</v>
      </c>
      <c r="B45" s="6">
        <v>73.557487786380719</v>
      </c>
      <c r="C45" s="6">
        <f>73.5574877863807 * $B$36 / 100</f>
        <v>73.557487786380705</v>
      </c>
      <c r="D45" s="6">
        <v>9.2680800000000012</v>
      </c>
      <c r="E45" s="7">
        <f>9.26808 * $B$36 / 100</f>
        <v>9.2680799999999994</v>
      </c>
    </row>
    <row r="46" spans="1:5" x14ac:dyDescent="0.25">
      <c r="A46" s="5">
        <v>-30</v>
      </c>
      <c r="B46" s="6">
        <v>74.610985202560897</v>
      </c>
      <c r="C46" s="6">
        <f>74.6109852025609 * $B$36 / 100</f>
        <v>74.610985202560897</v>
      </c>
      <c r="D46" s="6">
        <v>9.4008183333333335</v>
      </c>
      <c r="E46" s="7">
        <f>9.40081833333333 * $B$36 / 100</f>
        <v>9.4008183333333299</v>
      </c>
    </row>
    <row r="47" spans="1:5" x14ac:dyDescent="0.25">
      <c r="A47" s="5">
        <v>-20</v>
      </c>
      <c r="B47" s="6">
        <v>75.66448261874109</v>
      </c>
      <c r="C47" s="6">
        <f>75.664482618741 * $B$36 / 100</f>
        <v>75.664482618741005</v>
      </c>
      <c r="D47" s="6">
        <v>9.5335566666666676</v>
      </c>
      <c r="E47" s="7">
        <f>9.53355666666666 * $B$36 / 100</f>
        <v>9.5335566666666605</v>
      </c>
    </row>
    <row r="48" spans="1:5" x14ac:dyDescent="0.25">
      <c r="A48" s="5">
        <v>-10</v>
      </c>
      <c r="B48" s="6">
        <v>76.717980034921268</v>
      </c>
      <c r="C48" s="6">
        <f>76.7179800349212 * $B$36 / 100</f>
        <v>76.717980034921197</v>
      </c>
      <c r="D48" s="6">
        <v>9.6662950000000016</v>
      </c>
      <c r="E48" s="7">
        <f>9.666295 * $B$36 / 100</f>
        <v>9.6662949999999999</v>
      </c>
    </row>
    <row r="49" spans="1:18" x14ac:dyDescent="0.25">
      <c r="A49" s="5">
        <v>0</v>
      </c>
      <c r="B49" s="6">
        <v>77.771477451101447</v>
      </c>
      <c r="C49" s="6">
        <f>77.7714774511014 * $B$36 / 100</f>
        <v>77.771477451101404</v>
      </c>
      <c r="D49" s="6">
        <v>9.7990333333333339</v>
      </c>
      <c r="E49" s="7">
        <f>9.79903333333333 * $B$36 / 100</f>
        <v>9.7990333333333304</v>
      </c>
    </row>
    <row r="50" spans="1:18" x14ac:dyDescent="0.25">
      <c r="A50" s="5">
        <v>10</v>
      </c>
      <c r="B50" s="6">
        <v>78.703306054780526</v>
      </c>
      <c r="C50" s="6">
        <f>78.7033060547805 * $B$36 / 100</f>
        <v>78.703306054780498</v>
      </c>
      <c r="D50" s="6">
        <v>9.9164416666666693</v>
      </c>
      <c r="E50" s="7">
        <f>9.91644166666667 * $B$36 / 100</f>
        <v>9.9164416666666693</v>
      </c>
    </row>
    <row r="51" spans="1:18" x14ac:dyDescent="0.25">
      <c r="A51" s="5">
        <v>20</v>
      </c>
      <c r="B51" s="6">
        <v>79.635134658459592</v>
      </c>
      <c r="C51" s="6">
        <f>79.6351346584595 * $B$36 / 100</f>
        <v>79.635134658459506</v>
      </c>
      <c r="D51" s="6">
        <v>10.033849999999999</v>
      </c>
      <c r="E51" s="7">
        <f>10.03385 * $B$36 / 100</f>
        <v>10.033849999999999</v>
      </c>
    </row>
    <row r="52" spans="1:18" x14ac:dyDescent="0.25">
      <c r="A52" s="5">
        <v>30</v>
      </c>
      <c r="B52" s="6">
        <v>80.566963262138671</v>
      </c>
      <c r="C52" s="6">
        <f>80.5669632621386 * $B$36 / 100</f>
        <v>80.5669632621386</v>
      </c>
      <c r="D52" s="6">
        <v>10.151258333333329</v>
      </c>
      <c r="E52" s="7">
        <f>10.1512583333333 * $B$36 / 100</f>
        <v>10.151258333333301</v>
      </c>
    </row>
    <row r="53" spans="1:18" x14ac:dyDescent="0.25">
      <c r="A53" s="5">
        <v>40</v>
      </c>
      <c r="B53" s="6">
        <v>81.498791865817751</v>
      </c>
      <c r="C53" s="6">
        <f>81.4987918658177 * $B$36 / 100</f>
        <v>81.498791865817694</v>
      </c>
      <c r="D53" s="6">
        <v>10.26866666666667</v>
      </c>
      <c r="E53" s="7">
        <f>10.2686666666666 * $B$36 / 100</f>
        <v>10.268666666666599</v>
      </c>
    </row>
    <row r="54" spans="1:18" x14ac:dyDescent="0.25">
      <c r="A54" s="5">
        <v>50</v>
      </c>
      <c r="B54" s="6">
        <v>82.43062046949683</v>
      </c>
      <c r="C54" s="6">
        <f>82.4306204694968 * $B$36 / 100</f>
        <v>82.430620469496802</v>
      </c>
      <c r="D54" s="6">
        <v>10.386075</v>
      </c>
      <c r="E54" s="7">
        <f>10.386075 * $B$36 / 100</f>
        <v>10.386075</v>
      </c>
    </row>
    <row r="55" spans="1:18" x14ac:dyDescent="0.25">
      <c r="A55" s="5">
        <v>60</v>
      </c>
      <c r="B55" s="6">
        <v>83.362449073175895</v>
      </c>
      <c r="C55" s="6">
        <f>83.3624490731759 * $B$36 / 100</f>
        <v>83.36244907317591</v>
      </c>
      <c r="D55" s="6">
        <v>10.50348333333333</v>
      </c>
      <c r="E55" s="7">
        <f>10.5034833333333 * $B$36 / 100</f>
        <v>10.5034833333333</v>
      </c>
    </row>
    <row r="56" spans="1:18" x14ac:dyDescent="0.25">
      <c r="A56" s="5">
        <v>70</v>
      </c>
      <c r="B56" s="6">
        <v>84.294277676854975</v>
      </c>
      <c r="C56" s="6">
        <f>84.2942776768549 * $B$36 / 100</f>
        <v>84.294277676854904</v>
      </c>
      <c r="D56" s="6">
        <v>10.620891666666671</v>
      </c>
      <c r="E56" s="7">
        <f>10.6208916666666 * $B$36 / 100</f>
        <v>10.620891666666601</v>
      </c>
    </row>
    <row r="57" spans="1:18" x14ac:dyDescent="0.25">
      <c r="A57" s="8">
        <v>80</v>
      </c>
      <c r="B57" s="9">
        <v>85.226106280534054</v>
      </c>
      <c r="C57" s="9">
        <f>85.226106280534 * $B$36 / 100</f>
        <v>85.226106280533998</v>
      </c>
      <c r="D57" s="9">
        <v>10.738300000000001</v>
      </c>
      <c r="E57" s="10">
        <f>10.7383 * $B$36 / 100</f>
        <v>10.738300000000002</v>
      </c>
    </row>
    <row r="59" spans="1:18" ht="28.9" customHeight="1" x14ac:dyDescent="0.5">
      <c r="A59" s="1" t="s">
        <v>23</v>
      </c>
      <c r="B59" s="1"/>
    </row>
    <row r="60" spans="1:18" x14ac:dyDescent="0.25">
      <c r="A60" s="21" t="s">
        <v>24</v>
      </c>
      <c r="B60" s="22">
        <v>0</v>
      </c>
      <c r="C60" s="22">
        <v>6.25</v>
      </c>
      <c r="D60" s="22">
        <v>12.5</v>
      </c>
      <c r="E60" s="22">
        <v>18.75</v>
      </c>
      <c r="F60" s="22">
        <v>25</v>
      </c>
      <c r="G60" s="22">
        <v>31.25</v>
      </c>
      <c r="H60" s="22">
        <v>37.5</v>
      </c>
      <c r="I60" s="22">
        <v>43.75</v>
      </c>
      <c r="J60" s="22">
        <v>50</v>
      </c>
      <c r="K60" s="22">
        <v>56.25</v>
      </c>
      <c r="L60" s="22">
        <v>62.5</v>
      </c>
      <c r="M60" s="22">
        <v>68.75</v>
      </c>
      <c r="N60" s="22">
        <v>75</v>
      </c>
      <c r="O60" s="22">
        <v>81.25</v>
      </c>
      <c r="P60" s="22">
        <v>87.5</v>
      </c>
      <c r="Q60" s="22">
        <v>93.75</v>
      </c>
      <c r="R60" s="23">
        <v>100</v>
      </c>
    </row>
    <row r="61" spans="1:18" x14ac:dyDescent="0.25">
      <c r="A61" s="5" t="s">
        <v>25</v>
      </c>
      <c r="B61" s="6">
        <f>0 * $B$38 + (1 - 0) * $B$37</f>
        <v>14.7</v>
      </c>
      <c r="C61" s="6">
        <f>0.0625 * $B$38 + (1 - 0.0625) * $B$37</f>
        <v>14.344250000000001</v>
      </c>
      <c r="D61" s="6">
        <f>0.125 * $B$38 + (1 - 0.125) * $B$37</f>
        <v>13.988499999999998</v>
      </c>
      <c r="E61" s="6">
        <f>0.1875 * $B$38 + (1 - 0.1875) * $B$37</f>
        <v>13.63275</v>
      </c>
      <c r="F61" s="6">
        <f>0.25 * $B$38 + (1 - 0.25) * $B$37</f>
        <v>13.276999999999997</v>
      </c>
      <c r="G61" s="6">
        <f>0.3125 * $B$38 + (1 - 0.3125) * $B$37</f>
        <v>12.921249999999999</v>
      </c>
      <c r="H61" s="6">
        <f>0.375 * $B$38 + (1 - 0.375) * $B$37</f>
        <v>12.5655</v>
      </c>
      <c r="I61" s="6">
        <f>0.4375 * $B$38 + (1 - 0.4375) * $B$37</f>
        <v>12.20975</v>
      </c>
      <c r="J61" s="6">
        <f>0.5 * $B$38 + (1 - 0.5) * $B$37</f>
        <v>11.853999999999999</v>
      </c>
      <c r="K61" s="6">
        <f>0.5625 * $B$38 + (1 - 0.5625) * $B$37</f>
        <v>11.498249999999999</v>
      </c>
      <c r="L61" s="6">
        <f>0.625 * $B$38 + (1 - 0.625) * $B$37</f>
        <v>11.142499999999998</v>
      </c>
      <c r="M61" s="6">
        <f>0.6875 * $B$38 + (1 - 0.6875) * $B$37</f>
        <v>10.78675</v>
      </c>
      <c r="N61" s="6">
        <f>0.75 * $B$38 + (1 - 0.75) * $B$37</f>
        <v>10.430999999999999</v>
      </c>
      <c r="O61" s="6">
        <f>0.8125 * $B$38 + (1 - 0.8125) * $B$37</f>
        <v>10.075249999999999</v>
      </c>
      <c r="P61" s="6">
        <f>0.875 * $B$38 + (1 - 0.875) * $B$37</f>
        <v>9.7195</v>
      </c>
      <c r="Q61" s="6">
        <f>0.9375 * $B$38 + (1 - 0.9375) * $B$37</f>
        <v>9.3637499999999978</v>
      </c>
      <c r="R61" s="7">
        <f>1 * $B$38 + (1 - 1) * $B$37</f>
        <v>9.0079999999999991</v>
      </c>
    </row>
    <row r="62" spans="1:18" x14ac:dyDescent="0.25">
      <c r="A62" s="8" t="s">
        <v>26</v>
      </c>
      <c r="B62" s="9">
        <f>(0 * $B$38 + (1 - 0) * $B$37) * $B$36 / 100</f>
        <v>14.7</v>
      </c>
      <c r="C62" s="9">
        <f>(0.0625 * $B$38 + (1 - 0.0625) * $B$37) * $B$36 / 100</f>
        <v>14.344249999999999</v>
      </c>
      <c r="D62" s="9">
        <f>(0.125 * $B$38 + (1 - 0.125) * $B$37) * $B$36 / 100</f>
        <v>13.988499999999998</v>
      </c>
      <c r="E62" s="9">
        <f>(0.1875 * $B$38 + (1 - 0.1875) * $B$37) * $B$36 / 100</f>
        <v>13.632749999999998</v>
      </c>
      <c r="F62" s="9">
        <f>(0.25 * $B$38 + (1 - 0.25) * $B$37) * $B$36 / 100</f>
        <v>13.276999999999997</v>
      </c>
      <c r="G62" s="9">
        <f>(0.3125 * $B$38 + (1 - 0.3125) * $B$37) * $B$36 / 100</f>
        <v>12.921249999999997</v>
      </c>
      <c r="H62" s="9">
        <f>(0.375 * $B$38 + (1 - 0.375) * $B$37) * $B$36 / 100</f>
        <v>12.5655</v>
      </c>
      <c r="I62" s="9">
        <f>(0.4375 * $B$38 + (1 - 0.4375) * $B$37) * $B$36 / 100</f>
        <v>12.20975</v>
      </c>
      <c r="J62" s="9">
        <f>(0.5 * $B$38 + (1 - 0.5) * $B$37) * $B$36 / 100</f>
        <v>11.853999999999999</v>
      </c>
      <c r="K62" s="9">
        <f>(0.5625 * $B$38 + (1 - 0.5625) * $B$37) * $B$36 / 100</f>
        <v>11.498249999999999</v>
      </c>
      <c r="L62" s="9">
        <f>(0.625 * $B$38 + (1 - 0.625) * $B$37) * $B$36 / 100</f>
        <v>11.142499999999998</v>
      </c>
      <c r="M62" s="9">
        <f>(0.6875 * $B$38 + (1 - 0.6875) * $B$37) * $B$36 / 100</f>
        <v>10.78675</v>
      </c>
      <c r="N62" s="9">
        <f>(0.75 * $B$38 + (1 - 0.75) * $B$37) * $B$36 / 100</f>
        <v>10.430999999999999</v>
      </c>
      <c r="O62" s="9">
        <f>(0.8125 * $B$38 + (1 - 0.8125) * $B$37) * $B$36 / 100</f>
        <v>10.075249999999999</v>
      </c>
      <c r="P62" s="9">
        <f>(0.875 * $B$38 + (1 - 0.875) * $B$37) * $B$36 / 100</f>
        <v>9.7195</v>
      </c>
      <c r="Q62" s="9">
        <f>(0.9375 * $B$38 + (1 - 0.9375) * $B$37) * $B$36 / 100</f>
        <v>9.3637499999999978</v>
      </c>
      <c r="R62" s="10">
        <f>(1 * $B$38 + (1 - 1) * $B$37) * $B$36 / 100</f>
        <v>9.0079999999999991</v>
      </c>
    </row>
    <row r="64" spans="1:18" ht="28.9" customHeight="1" x14ac:dyDescent="0.5">
      <c r="A64" s="1" t="s">
        <v>27</v>
      </c>
      <c r="B64" s="1"/>
    </row>
    <row r="65" spans="1:34" x14ac:dyDescent="0.25">
      <c r="A65" s="24" t="s">
        <v>28</v>
      </c>
      <c r="B65" s="25" t="s">
        <v>18</v>
      </c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25"/>
      <c r="W65" s="25"/>
      <c r="X65" s="25"/>
      <c r="Y65" s="25"/>
      <c r="Z65" s="25"/>
      <c r="AA65" s="25"/>
      <c r="AB65" s="25"/>
      <c r="AC65" s="25"/>
      <c r="AD65" s="25"/>
      <c r="AE65" s="25"/>
      <c r="AF65" s="25"/>
      <c r="AG65" s="25"/>
      <c r="AH65" s="26"/>
    </row>
    <row r="66" spans="1:34" x14ac:dyDescent="0.25">
      <c r="A66" s="27" t="s">
        <v>42</v>
      </c>
      <c r="B66" s="28">
        <v>4.5</v>
      </c>
      <c r="C66" s="28">
        <v>5</v>
      </c>
      <c r="D66" s="28">
        <v>5.5</v>
      </c>
      <c r="E66" s="28">
        <v>6</v>
      </c>
      <c r="F66" s="28">
        <v>6.5</v>
      </c>
      <c r="G66" s="28">
        <v>7</v>
      </c>
      <c r="H66" s="28">
        <v>7.5</v>
      </c>
      <c r="I66" s="28">
        <v>8</v>
      </c>
      <c r="J66" s="28">
        <v>8.5</v>
      </c>
      <c r="K66" s="28">
        <v>9</v>
      </c>
      <c r="L66" s="28">
        <v>9.5</v>
      </c>
      <c r="M66" s="28">
        <v>10</v>
      </c>
      <c r="N66" s="28">
        <v>10.5</v>
      </c>
      <c r="O66" s="28">
        <v>11</v>
      </c>
      <c r="P66" s="28">
        <v>11.5</v>
      </c>
      <c r="Q66" s="28">
        <v>12</v>
      </c>
      <c r="R66" s="28">
        <v>12.5</v>
      </c>
      <c r="S66" s="28">
        <v>13</v>
      </c>
      <c r="T66" s="28">
        <v>13.5</v>
      </c>
      <c r="U66" s="28">
        <v>14</v>
      </c>
      <c r="V66" s="28">
        <v>14.5</v>
      </c>
      <c r="W66" s="28">
        <v>15</v>
      </c>
      <c r="X66" s="28">
        <v>15.5</v>
      </c>
      <c r="Y66" s="28">
        <v>16</v>
      </c>
      <c r="Z66" s="28">
        <v>16.5</v>
      </c>
      <c r="AA66" s="28">
        <v>17</v>
      </c>
      <c r="AB66" s="28">
        <v>17.5</v>
      </c>
      <c r="AC66" s="28">
        <v>18</v>
      </c>
      <c r="AD66" s="28">
        <v>18.5</v>
      </c>
      <c r="AE66" s="28">
        <v>19</v>
      </c>
      <c r="AF66" s="28">
        <v>19.5</v>
      </c>
      <c r="AG66" s="28">
        <v>20</v>
      </c>
      <c r="AH66" s="29">
        <v>20.5</v>
      </c>
    </row>
    <row r="67" spans="1:34" x14ac:dyDescent="0.25">
      <c r="A67" s="30">
        <v>-80</v>
      </c>
      <c r="B67" s="31">
        <v>8.8290790822810461</v>
      </c>
      <c r="C67" s="31">
        <v>7.7426546619142469</v>
      </c>
      <c r="D67" s="31">
        <v>6.7758050522966506</v>
      </c>
      <c r="E67" s="31">
        <v>5.9191409381097539</v>
      </c>
      <c r="F67" s="31">
        <v>5.1636577033464048</v>
      </c>
      <c r="G67" s="31">
        <v>4.5007354313107824</v>
      </c>
      <c r="H67" s="31">
        <v>3.922138904618425</v>
      </c>
      <c r="I67" s="31">
        <v>3.4200176051962088</v>
      </c>
      <c r="J67" s="31">
        <v>2.9869057142823512</v>
      </c>
      <c r="K67" s="31">
        <v>2.6157221124264201</v>
      </c>
      <c r="L67" s="31">
        <v>2.2997703794893289</v>
      </c>
      <c r="M67" s="31">
        <v>2.0327387946433282</v>
      </c>
      <c r="N67" s="31">
        <v>1.8087003363720191</v>
      </c>
      <c r="O67" s="31">
        <v>1.6221126824703449</v>
      </c>
      <c r="P67" s="31">
        <v>1.46781821004461</v>
      </c>
      <c r="Q67" s="31">
        <v>1.341043995512418</v>
      </c>
      <c r="R67" s="31">
        <v>1.2374018146027781</v>
      </c>
      <c r="S67" s="31">
        <v>1.15288814235601</v>
      </c>
      <c r="T67" s="31">
        <v>1.0838841531237691</v>
      </c>
      <c r="U67" s="31">
        <v>1.0271557205690769</v>
      </c>
      <c r="V67" s="31">
        <v>0.97985341766628231</v>
      </c>
      <c r="W67" s="31">
        <v>0.9395125167010967</v>
      </c>
      <c r="X67" s="31">
        <v>0.90405298927057509</v>
      </c>
      <c r="Y67" s="31">
        <v>0.87177950628310819</v>
      </c>
      <c r="Z67" s="31">
        <v>0.84138143795840425</v>
      </c>
      <c r="AA67" s="31">
        <v>0.81193285382759595</v>
      </c>
      <c r="AB67" s="31">
        <v>0.78289252273305032</v>
      </c>
      <c r="AC67" s="31">
        <v>0.75410391282857603</v>
      </c>
      <c r="AD67" s="31">
        <v>0.72579519157927652</v>
      </c>
      <c r="AE67" s="31">
        <v>0.69857922576164833</v>
      </c>
      <c r="AF67" s="31">
        <v>0.67345358146342726</v>
      </c>
      <c r="AG67" s="31">
        <v>0.65180052408381084</v>
      </c>
      <c r="AH67" s="32">
        <v>0.63538701833331146</v>
      </c>
    </row>
    <row r="68" spans="1:34" x14ac:dyDescent="0.25">
      <c r="A68" s="30">
        <v>-70</v>
      </c>
      <c r="B68" s="31">
        <v>8.9668081572458167</v>
      </c>
      <c r="C68" s="31">
        <v>7.865023411202241</v>
      </c>
      <c r="D68" s="31">
        <v>6.8840252878898056</v>
      </c>
      <c r="E68" s="31">
        <v>6.0143762464261696</v>
      </c>
      <c r="F68" s="31">
        <v>5.2470234452403313</v>
      </c>
      <c r="G68" s="31">
        <v>4.5732987420726374</v>
      </c>
      <c r="H68" s="31">
        <v>3.9849186939747732</v>
      </c>
      <c r="I68" s="31">
        <v>3.473984557309775</v>
      </c>
      <c r="J68" s="31">
        <v>3.0329822877520218</v>
      </c>
      <c r="K68" s="31">
        <v>2.654782540287226</v>
      </c>
      <c r="L68" s="31">
        <v>2.332640669212473</v>
      </c>
      <c r="M68" s="31">
        <v>2.0601967281361571</v>
      </c>
      <c r="N68" s="31">
        <v>1.8314754699780531</v>
      </c>
      <c r="O68" s="31">
        <v>1.640886346969247</v>
      </c>
      <c r="P68" s="31">
        <v>1.4832235106521969</v>
      </c>
      <c r="Q68" s="31">
        <v>1.353665811880683</v>
      </c>
      <c r="R68" s="31">
        <v>1.247776800819844</v>
      </c>
      <c r="S68" s="31">
        <v>1.1615047269461809</v>
      </c>
      <c r="T68" s="31">
        <v>1.0911825390474961</v>
      </c>
      <c r="U68" s="31">
        <v>1.0335278852229699</v>
      </c>
      <c r="V68" s="31">
        <v>0.98564311288308748</v>
      </c>
      <c r="W68" s="31">
        <v>0.94501526874976349</v>
      </c>
      <c r="X68" s="31">
        <v>0.90951609885617324</v>
      </c>
      <c r="Y68" s="31">
        <v>0.87740204854685189</v>
      </c>
      <c r="Z68" s="31">
        <v>0.84731426247772734</v>
      </c>
      <c r="AA68" s="31">
        <v>0.81827858461600655</v>
      </c>
      <c r="AB68" s="31">
        <v>0.78970555824025734</v>
      </c>
      <c r="AC68" s="31">
        <v>0.76139042594046225</v>
      </c>
      <c r="AD68" s="31">
        <v>0.73351312961787951</v>
      </c>
      <c r="AE68" s="31">
        <v>0.70663831048514014</v>
      </c>
      <c r="AF68" s="31">
        <v>0.68171530906611411</v>
      </c>
      <c r="AG68" s="31">
        <v>0.66007816519619711</v>
      </c>
      <c r="AH68" s="32">
        <v>0.64344561802204236</v>
      </c>
    </row>
    <row r="69" spans="1:34" x14ac:dyDescent="0.25">
      <c r="A69" s="30">
        <v>-60</v>
      </c>
      <c r="B69" s="31">
        <v>9.1063977540264958</v>
      </c>
      <c r="C69" s="31">
        <v>7.989113251603607</v>
      </c>
      <c r="D69" s="31">
        <v>6.9938326137381637</v>
      </c>
      <c r="E69" s="31">
        <v>6.1110700739839743</v>
      </c>
      <c r="F69" s="31">
        <v>5.3317245652062013</v>
      </c>
      <c r="G69" s="31">
        <v>4.6470797195813409</v>
      </c>
      <c r="H69" s="31">
        <v>4.0488038685972461</v>
      </c>
      <c r="I69" s="31">
        <v>3.5289500430530949</v>
      </c>
      <c r="J69" s="31">
        <v>3.0799559730594388</v>
      </c>
      <c r="K69" s="31">
        <v>2.6946440880381379</v>
      </c>
      <c r="L69" s="31">
        <v>2.3662215167224372</v>
      </c>
      <c r="M69" s="31">
        <v>2.0882800871568832</v>
      </c>
      <c r="N69" s="31">
        <v>1.8547963266974139</v>
      </c>
      <c r="O69" s="31">
        <v>1.660131462011267</v>
      </c>
      <c r="P69" s="31">
        <v>1.4990314190770739</v>
      </c>
      <c r="Q69" s="31">
        <v>1.366626823184742</v>
      </c>
      <c r="R69" s="31">
        <v>1.258432998935598</v>
      </c>
      <c r="S69" s="31">
        <v>1.1703499702422699</v>
      </c>
      <c r="T69" s="31">
        <v>1.0986624603287449</v>
      </c>
      <c r="U69" s="31">
        <v>1.0400398917303419</v>
      </c>
      <c r="V69" s="31">
        <v>0.99153638629372054</v>
      </c>
      <c r="W69" s="31">
        <v>0.95059076517692642</v>
      </c>
      <c r="X69" s="31">
        <v>0.91502654884930834</v>
      </c>
      <c r="Y69" s="31">
        <v>0.88305195709157391</v>
      </c>
      <c r="Z69" s="31">
        <v>0.85325990899574955</v>
      </c>
      <c r="AA69" s="31">
        <v>0.82462802296528881</v>
      </c>
      <c r="AB69" s="31">
        <v>0.7965186167148488</v>
      </c>
      <c r="AC69" s="31">
        <v>0.76867870727058119</v>
      </c>
      <c r="AD69" s="31">
        <v>0.74124001096988579</v>
      </c>
      <c r="AE69" s="31">
        <v>0.71471894346158416</v>
      </c>
      <c r="AF69" s="31">
        <v>0.69001661970572348</v>
      </c>
      <c r="AG69" s="31">
        <v>0.66841885397377621</v>
      </c>
      <c r="AH69" s="32">
        <v>0.65159615984864394</v>
      </c>
    </row>
    <row r="70" spans="1:34" x14ac:dyDescent="0.25">
      <c r="A70" s="30">
        <v>-50</v>
      </c>
      <c r="B70" s="31">
        <v>9.2478518241047709</v>
      </c>
      <c r="C70" s="31">
        <v>8.1149279820380311</v>
      </c>
      <c r="D70" s="31">
        <v>7.1052306761993984</v>
      </c>
      <c r="E70" s="31">
        <v>6.2092259145788429</v>
      </c>
      <c r="F70" s="31">
        <v>5.4177644044776763</v>
      </c>
      <c r="G70" s="31">
        <v>4.7220815525085662</v>
      </c>
      <c r="H70" s="31">
        <v>4.1137974645954971</v>
      </c>
      <c r="I70" s="31">
        <v>3.584916945973831</v>
      </c>
      <c r="J70" s="31">
        <v>3.1278295011902508</v>
      </c>
      <c r="K70" s="31">
        <v>2.7353093341028001</v>
      </c>
      <c r="L70" s="31">
        <v>2.4005153478808539</v>
      </c>
      <c r="M70" s="31">
        <v>2.1169911450051462</v>
      </c>
      <c r="N70" s="31">
        <v>1.8786650272677461</v>
      </c>
      <c r="O70" s="31">
        <v>1.6798499957720601</v>
      </c>
      <c r="P70" s="31">
        <v>1.515243750932864</v>
      </c>
      <c r="Q70" s="31">
        <v>1.379928692476234</v>
      </c>
      <c r="R70" s="31">
        <v>1.26937191943966</v>
      </c>
      <c r="S70" s="31">
        <v>1.179425230171909</v>
      </c>
      <c r="T70" s="31">
        <v>1.1063251223331321</v>
      </c>
      <c r="U70" s="31">
        <v>1.046692792894808</v>
      </c>
      <c r="V70" s="31">
        <v>0.997534138139759</v>
      </c>
      <c r="W70" s="31">
        <v>0.95623975366217462</v>
      </c>
      <c r="X70" s="31">
        <v>0.9205849343675645</v>
      </c>
      <c r="Y70" s="31">
        <v>0.88872967447279561</v>
      </c>
      <c r="Z70" s="31">
        <v>0.85921866750607712</v>
      </c>
      <c r="AA70" s="31">
        <v>0.83098130630694189</v>
      </c>
      <c r="AB70" s="31">
        <v>0.80333168302630054</v>
      </c>
      <c r="AC70" s="31">
        <v>0.7759685891264072</v>
      </c>
      <c r="AD70" s="31">
        <v>0.74897551538083806</v>
      </c>
      <c r="AE70" s="31">
        <v>0.72282065187453559</v>
      </c>
      <c r="AF70" s="31">
        <v>0.69835688800376527</v>
      </c>
      <c r="AG70" s="31">
        <v>0.67682181247610618</v>
      </c>
      <c r="AH70" s="32">
        <v>0.65983771331061558</v>
      </c>
    </row>
    <row r="71" spans="1:34" x14ac:dyDescent="0.25">
      <c r="A71" s="30">
        <v>-40</v>
      </c>
      <c r="B71" s="31">
        <v>9.3911743273052313</v>
      </c>
      <c r="C71" s="31">
        <v>8.2424714097681004</v>
      </c>
      <c r="D71" s="31">
        <v>7.2182231299741018</v>
      </c>
      <c r="E71" s="31">
        <v>6.3088472703493608</v>
      </c>
      <c r="F71" s="31">
        <v>5.5051463126313447</v>
      </c>
      <c r="G71" s="31">
        <v>4.7983074378688704</v>
      </c>
      <c r="H71" s="31">
        <v>4.179902526422099</v>
      </c>
      <c r="I71" s="31">
        <v>3.6418881579625331</v>
      </c>
      <c r="J71" s="31">
        <v>3.1766056114730281</v>
      </c>
      <c r="K71" s="31">
        <v>2.776780865247757</v>
      </c>
      <c r="L71" s="31">
        <v>2.4355245968922818</v>
      </c>
      <c r="M71" s="31">
        <v>2.1463321833234739</v>
      </c>
      <c r="N71" s="31">
        <v>1.903083700769566</v>
      </c>
      <c r="O71" s="31">
        <v>1.70004392477013</v>
      </c>
      <c r="P71" s="31">
        <v>1.531862330176077</v>
      </c>
      <c r="Q71" s="31">
        <v>1.393573091149666</v>
      </c>
      <c r="R71" s="31">
        <v>1.280595081164529</v>
      </c>
      <c r="S71" s="31">
        <v>1.188731873005592</v>
      </c>
      <c r="T71" s="31">
        <v>1.114171738769159</v>
      </c>
      <c r="U71" s="31">
        <v>1.0534876498628789</v>
      </c>
      <c r="V71" s="31">
        <v>1.00363727700571</v>
      </c>
      <c r="W71" s="31">
        <v>0.96196299022802378</v>
      </c>
      <c r="X71" s="31">
        <v>0.92619185887145494</v>
      </c>
      <c r="Y71" s="31">
        <v>0.89443565158905636</v>
      </c>
      <c r="Z71" s="31">
        <v>0.86519083634517446</v>
      </c>
      <c r="AA71" s="31">
        <v>0.83733858041553688</v>
      </c>
      <c r="AB71" s="31">
        <v>0.8101447503871595</v>
      </c>
      <c r="AC71" s="31">
        <v>0.78325991215847068</v>
      </c>
      <c r="AD71" s="31">
        <v>0.75671933093923005</v>
      </c>
      <c r="AE71" s="31">
        <v>0.73094297125050656</v>
      </c>
      <c r="AF71" s="31">
        <v>0.70673549692470061</v>
      </c>
      <c r="AG71" s="31">
        <v>0.68528627110563867</v>
      </c>
      <c r="AH71" s="32">
        <v>0.66816935624842699</v>
      </c>
    </row>
    <row r="72" spans="1:34" x14ac:dyDescent="0.25">
      <c r="A72" s="30">
        <v>-30</v>
      </c>
      <c r="B72" s="31">
        <v>9.5363692317954118</v>
      </c>
      <c r="C72" s="31">
        <v>8.3717473503993478</v>
      </c>
      <c r="D72" s="31">
        <v>7.3328136381057929</v>
      </c>
      <c r="E72" s="31">
        <v>6.4099376517770361</v>
      </c>
      <c r="F72" s="31">
        <v>5.5938736475867046</v>
      </c>
      <c r="G72" s="31">
        <v>4.8757605810197751</v>
      </c>
      <c r="H72" s="31">
        <v>4.2471221068725562</v>
      </c>
      <c r="I72" s="31">
        <v>3.6998665792527081</v>
      </c>
      <c r="J72" s="31">
        <v>3.2262870515792481</v>
      </c>
      <c r="K72" s="31">
        <v>2.8190612765825058</v>
      </c>
      <c r="L72" s="31">
        <v>2.471251706304205</v>
      </c>
      <c r="M72" s="31">
        <v>2.1763054920973599</v>
      </c>
      <c r="N72" s="31">
        <v>1.9280544846263721</v>
      </c>
      <c r="O72" s="31">
        <v>1.7207152338669569</v>
      </c>
      <c r="P72" s="31">
        <v>1.5488889891062061</v>
      </c>
      <c r="Q72" s="31">
        <v>1.407561698942525</v>
      </c>
      <c r="R72" s="31">
        <v>1.292104011285677</v>
      </c>
      <c r="S72" s="31">
        <v>1.1982712733567811</v>
      </c>
      <c r="T72" s="31">
        <v>1.122203531688287</v>
      </c>
      <c r="U72" s="31">
        <v>1.0604255321239799</v>
      </c>
      <c r="V72" s="31">
        <v>1.009846719819014</v>
      </c>
      <c r="W72" s="31">
        <v>0.96776123923988389</v>
      </c>
      <c r="X72" s="31">
        <v>0.93184793416439671</v>
      </c>
      <c r="Y72" s="31">
        <v>0.90017034768176507</v>
      </c>
      <c r="Z72" s="31">
        <v>0.87117672219249453</v>
      </c>
      <c r="AA72" s="31">
        <v>0.84369999940844287</v>
      </c>
      <c r="AB72" s="31">
        <v>0.8169578203527903</v>
      </c>
      <c r="AC72" s="31">
        <v>0.79055252536016218</v>
      </c>
      <c r="AD72" s="31">
        <v>0.7644711540764032</v>
      </c>
      <c r="AE72" s="31">
        <v>0.73908544545883348</v>
      </c>
      <c r="AF72" s="31">
        <v>0.71515183777594138</v>
      </c>
      <c r="AG72" s="31">
        <v>0.69381146860772702</v>
      </c>
      <c r="AH72" s="32">
        <v>0.6765901748454437</v>
      </c>
    </row>
    <row r="73" spans="1:34" x14ac:dyDescent="0.25">
      <c r="A73" s="30">
        <v>-20</v>
      </c>
      <c r="B73" s="31">
        <v>9.6834405140857829</v>
      </c>
      <c r="C73" s="31">
        <v>8.5027596278802235</v>
      </c>
      <c r="D73" s="31">
        <v>7.4490058719809236</v>
      </c>
      <c r="E73" s="31">
        <v>6.5125005776863256</v>
      </c>
      <c r="F73" s="31">
        <v>5.6839497756062132</v>
      </c>
      <c r="G73" s="31">
        <v>4.9544441956617096</v>
      </c>
      <c r="H73" s="31">
        <v>4.3154592670852994</v>
      </c>
      <c r="I73" s="31">
        <v>3.758855118420787</v>
      </c>
      <c r="J73" s="31">
        <v>3.276876577523343</v>
      </c>
      <c r="K73" s="31">
        <v>2.8621531715594748</v>
      </c>
      <c r="L73" s="31">
        <v>2.5076991270070339</v>
      </c>
      <c r="M73" s="31">
        <v>2.206913369655207</v>
      </c>
      <c r="N73" s="31">
        <v>1.9535795246045631</v>
      </c>
      <c r="O73" s="31">
        <v>1.741865916266955</v>
      </c>
      <c r="P73" s="31">
        <v>1.5663255683656381</v>
      </c>
      <c r="Q73" s="31">
        <v>1.421896203935171</v>
      </c>
      <c r="R73" s="31">
        <v>1.303900245321487</v>
      </c>
      <c r="S73" s="31">
        <v>1.2080448141818581</v>
      </c>
      <c r="T73" s="31">
        <v>1.130421731484875</v>
      </c>
      <c r="U73" s="31">
        <v>1.0675075175105031</v>
      </c>
      <c r="V73" s="31">
        <v>1.016163391850041</v>
      </c>
      <c r="W73" s="31">
        <v>0.97363527340613509</v>
      </c>
      <c r="X73" s="31">
        <v>0.93755378039275428</v>
      </c>
      <c r="Y73" s="31">
        <v>0.90593423033528353</v>
      </c>
      <c r="Z73" s="31">
        <v>0.87717664007035656</v>
      </c>
      <c r="AA73" s="31">
        <v>0.85006572574599915</v>
      </c>
      <c r="AB73" s="31">
        <v>0.8237709028215543</v>
      </c>
      <c r="AC73" s="31">
        <v>0.79784628606781649</v>
      </c>
      <c r="AD73" s="31">
        <v>0.77223068956678609</v>
      </c>
      <c r="AE73" s="31">
        <v>0.74724762671188949</v>
      </c>
      <c r="AF73" s="31">
        <v>0.72360531020782304</v>
      </c>
      <c r="AG73" s="31">
        <v>0.70239665207071744</v>
      </c>
      <c r="AH73" s="32">
        <v>0.68509926362801843</v>
      </c>
    </row>
    <row r="74" spans="1:34" x14ac:dyDescent="0.25">
      <c r="A74" s="30">
        <v>-10</v>
      </c>
      <c r="B74" s="31">
        <v>9.8323921590297054</v>
      </c>
      <c r="C74" s="31">
        <v>8.6355120745020972</v>
      </c>
      <c r="D74" s="31">
        <v>7.5668035113288639</v>
      </c>
      <c r="E74" s="31">
        <v>6.616539575244583</v>
      </c>
      <c r="F74" s="31">
        <v>5.7753780712952141</v>
      </c>
      <c r="G74" s="31">
        <v>5.0343615038380349</v>
      </c>
      <c r="H74" s="31">
        <v>4.384917076541675</v>
      </c>
      <c r="I74" s="31">
        <v>3.8188566923861078</v>
      </c>
      <c r="J74" s="31">
        <v>3.3283769536626542</v>
      </c>
      <c r="K74" s="31">
        <v>2.90605916197398</v>
      </c>
      <c r="L74" s="31">
        <v>2.544869318234094</v>
      </c>
      <c r="M74" s="31">
        <v>2.2381581226683478</v>
      </c>
      <c r="N74" s="31">
        <v>1.979660974813451</v>
      </c>
      <c r="O74" s="31">
        <v>1.7634979735174201</v>
      </c>
      <c r="P74" s="31">
        <v>1.58417391693968</v>
      </c>
      <c r="Q74" s="31">
        <v>1.436578302550928</v>
      </c>
      <c r="R74" s="31">
        <v>1.315985327133268</v>
      </c>
      <c r="S74" s="31">
        <v>1.2180538867801081</v>
      </c>
      <c r="T74" s="31">
        <v>1.1388275768962259</v>
      </c>
      <c r="U74" s="31">
        <v>1.0747346921977301</v>
      </c>
      <c r="V74" s="31">
        <v>1.0225882267120621</v>
      </c>
      <c r="W74" s="31">
        <v>0.97958587377804018</v>
      </c>
      <c r="X74" s="31">
        <v>0.94331002604580239</v>
      </c>
      <c r="Y74" s="31">
        <v>0.91172777547685147</v>
      </c>
      <c r="Z74" s="31">
        <v>0.88319091334400912</v>
      </c>
      <c r="AA74" s="31">
        <v>0.85643593023146625</v>
      </c>
      <c r="AB74" s="31">
        <v>0.83058401603472376</v>
      </c>
      <c r="AC74" s="31">
        <v>0.80514105996066843</v>
      </c>
      <c r="AD74" s="31">
        <v>0.77999765052752323</v>
      </c>
      <c r="AE74" s="31">
        <v>0.75542907556487693</v>
      </c>
      <c r="AF74" s="31">
        <v>0.73209532221354601</v>
      </c>
      <c r="AG74" s="31">
        <v>0.71104107692583784</v>
      </c>
      <c r="AH74" s="32">
        <v>0.6936957254653392</v>
      </c>
    </row>
    <row r="75" spans="1:34" x14ac:dyDescent="0.25">
      <c r="A75" s="30">
        <v>0</v>
      </c>
      <c r="B75" s="31">
        <v>9.9832281598235006</v>
      </c>
      <c r="C75" s="31">
        <v>8.7700085308992932</v>
      </c>
      <c r="D75" s="31">
        <v>7.6862102442219156</v>
      </c>
      <c r="E75" s="31">
        <v>6.722058179962124</v>
      </c>
      <c r="F75" s="31">
        <v>5.8681619176020199</v>
      </c>
      <c r="G75" s="31">
        <v>5.1155157359350403</v>
      </c>
      <c r="H75" s="31">
        <v>4.4554986130659762</v>
      </c>
      <c r="I75" s="31">
        <v>3.8798742264109531</v>
      </c>
      <c r="J75" s="31">
        <v>3.380790952697462</v>
      </c>
      <c r="K75" s="31">
        <v>2.9507818679643059</v>
      </c>
      <c r="L75" s="31">
        <v>2.5827647475616651</v>
      </c>
      <c r="M75" s="31">
        <v>2.2700420661510412</v>
      </c>
      <c r="N75" s="31">
        <v>2.0063009977053001</v>
      </c>
      <c r="O75" s="31">
        <v>1.7856134155086261</v>
      </c>
      <c r="P75" s="31">
        <v>1.602435892156584</v>
      </c>
      <c r="Q75" s="31">
        <v>1.451609699556041</v>
      </c>
      <c r="R75" s="31">
        <v>1.3283608089252521</v>
      </c>
      <c r="S75" s="31">
        <v>1.228299890793789</v>
      </c>
      <c r="T75" s="31">
        <v>1.14742231500258</v>
      </c>
      <c r="U75" s="31">
        <v>1.0821081507038841</v>
      </c>
      <c r="V75" s="31">
        <v>1.0291221663613099</v>
      </c>
      <c r="W75" s="31">
        <v>0.98561382974982692</v>
      </c>
      <c r="X75" s="31">
        <v>0.94911730795574567</v>
      </c>
      <c r="Y75" s="31">
        <v>0.91755146737669346</v>
      </c>
      <c r="Z75" s="31">
        <v>0.88921987372169653</v>
      </c>
      <c r="AA75" s="31">
        <v>0.8628107920110466</v>
      </c>
      <c r="AB75" s="31">
        <v>0.83739718657646034</v>
      </c>
      <c r="AC75" s="31">
        <v>0.81243672106092668</v>
      </c>
      <c r="AD75" s="31">
        <v>0.78777175841885938</v>
      </c>
      <c r="AE75" s="31">
        <v>0.76362936091596378</v>
      </c>
      <c r="AF75" s="31">
        <v>0.74062129012929068</v>
      </c>
      <c r="AG75" s="31">
        <v>0.71974400694723795</v>
      </c>
      <c r="AH75" s="32">
        <v>0.70237867156959077</v>
      </c>
    </row>
    <row r="76" spans="1:34" x14ac:dyDescent="0.25">
      <c r="A76" s="30">
        <v>10</v>
      </c>
      <c r="B76" s="31">
        <v>10.1359525180064</v>
      </c>
      <c r="C76" s="31">
        <v>8.9062528460490196</v>
      </c>
      <c r="D76" s="31">
        <v>7.8072297670752988</v>
      </c>
      <c r="E76" s="31">
        <v>6.8290599356921478</v>
      </c>
      <c r="F76" s="31">
        <v>5.9623047058178242</v>
      </c>
      <c r="G76" s="31">
        <v>5.1979101306819251</v>
      </c>
      <c r="H76" s="31">
        <v>4.527206962825395</v>
      </c>
      <c r="I76" s="31">
        <v>3.9419106541005249</v>
      </c>
      <c r="J76" s="31">
        <v>3.4341213556709471</v>
      </c>
      <c r="K76" s="31">
        <v>2.996323918011639</v>
      </c>
      <c r="L76" s="31">
        <v>2.621387890908923</v>
      </c>
      <c r="M76" s="31">
        <v>2.3025675234604628</v>
      </c>
      <c r="N76" s="31">
        <v>2.0335017640752882</v>
      </c>
      <c r="O76" s="31">
        <v>1.808214260473729</v>
      </c>
      <c r="P76" s="31">
        <v>1.6211133596875149</v>
      </c>
      <c r="Q76" s="31">
        <v>1.4669921080596651</v>
      </c>
      <c r="R76" s="31">
        <v>1.341028251244605</v>
      </c>
      <c r="S76" s="31">
        <v>1.238784234208036</v>
      </c>
      <c r="T76" s="31">
        <v>1.156207201227069</v>
      </c>
      <c r="U76" s="31">
        <v>1.089628995890102</v>
      </c>
      <c r="V76" s="31">
        <v>1.0357661610969231</v>
      </c>
      <c r="W76" s="31">
        <v>0.9917199390586372</v>
      </c>
      <c r="X76" s="31">
        <v>0.95497627129771023</v>
      </c>
      <c r="Y76" s="31">
        <v>0.92340579864796435</v>
      </c>
      <c r="Z76" s="31">
        <v>0.8952638612545093</v>
      </c>
      <c r="AA76" s="31">
        <v>0.86919049857388953</v>
      </c>
      <c r="AB76" s="31">
        <v>0.84421044937386136</v>
      </c>
      <c r="AC76" s="31">
        <v>0.81973315173370764</v>
      </c>
      <c r="AD76" s="31">
        <v>0.79555274304388846</v>
      </c>
      <c r="AE76" s="31">
        <v>0.77184806000631323</v>
      </c>
      <c r="AF76" s="31">
        <v>0.74918263863416734</v>
      </c>
      <c r="AG76" s="31">
        <v>0.72850471425203989</v>
      </c>
      <c r="AH76" s="32">
        <v>0.71114722149585674</v>
      </c>
    </row>
    <row r="77" spans="1:34" x14ac:dyDescent="0.25">
      <c r="A77" s="30">
        <v>20</v>
      </c>
      <c r="B77" s="31">
        <v>10.29056924346057</v>
      </c>
      <c r="C77" s="31">
        <v>9.0442488772714498</v>
      </c>
      <c r="D77" s="31">
        <v>7.9298657846471734</v>
      </c>
      <c r="E77" s="31">
        <v>6.9375483946308139</v>
      </c>
      <c r="F77" s="31">
        <v>6.0578098355767818</v>
      </c>
      <c r="G77" s="31">
        <v>5.2815479351508374</v>
      </c>
      <c r="H77" s="31">
        <v>4.6000452203300792</v>
      </c>
      <c r="I77" s="31">
        <v>4.0049689174029526</v>
      </c>
      <c r="J77" s="31">
        <v>3.488370951969249</v>
      </c>
      <c r="K77" s="31">
        <v>3.0426879489400931</v>
      </c>
      <c r="L77" s="31">
        <v>2.660741232537982</v>
      </c>
      <c r="M77" s="31">
        <v>2.3357368262967331</v>
      </c>
      <c r="N77" s="31">
        <v>2.0612654530615129</v>
      </c>
      <c r="O77" s="31">
        <v>1.8313025349888421</v>
      </c>
      <c r="P77" s="31">
        <v>1.640208193546572</v>
      </c>
      <c r="Q77" s="31">
        <v>1.482727249513909</v>
      </c>
      <c r="R77" s="31">
        <v>1.3539892229813979</v>
      </c>
      <c r="S77" s="31">
        <v>1.249508333350938</v>
      </c>
      <c r="T77" s="31">
        <v>1.1651834993357759</v>
      </c>
      <c r="U77" s="31">
        <v>1.0972983389604769</v>
      </c>
      <c r="V77" s="31">
        <v>1.0425211695609651</v>
      </c>
      <c r="W77" s="31">
        <v>0.99790500778452806</v>
      </c>
      <c r="X77" s="31">
        <v>0.96088756958976373</v>
      </c>
      <c r="Y77" s="31">
        <v>0.92929127024667058</v>
      </c>
      <c r="Z77" s="31">
        <v>0.90132322433652945</v>
      </c>
      <c r="AA77" s="31">
        <v>0.87557524575197476</v>
      </c>
      <c r="AB77" s="31">
        <v>0.85102384769701445</v>
      </c>
      <c r="AC77" s="31">
        <v>0.82703024268699465</v>
      </c>
      <c r="AD77" s="31">
        <v>0.80334034254860143</v>
      </c>
      <c r="AE77" s="31">
        <v>0.78008475841988223</v>
      </c>
      <c r="AF77" s="31">
        <v>0.75777880075019532</v>
      </c>
      <c r="AG77" s="31">
        <v>0.73732247930023231</v>
      </c>
      <c r="AH77" s="32">
        <v>0.72000050314210307</v>
      </c>
    </row>
    <row r="78" spans="1:34" x14ac:dyDescent="0.25">
      <c r="A78" s="30">
        <v>30</v>
      </c>
      <c r="B78" s="31">
        <v>10.447082354411091</v>
      </c>
      <c r="C78" s="31">
        <v>9.1840004902296553</v>
      </c>
      <c r="D78" s="31">
        <v>8.0541220100386131</v>
      </c>
      <c r="E78" s="31">
        <v>7.0475271173171947</v>
      </c>
      <c r="F78" s="31">
        <v>6.1546807148559708</v>
      </c>
      <c r="G78" s="31">
        <v>5.3664324047568446</v>
      </c>
      <c r="H78" s="31">
        <v>4.674016488433085</v>
      </c>
      <c r="I78" s="31">
        <v>4.0690519666092939</v>
      </c>
      <c r="J78" s="31">
        <v>3.5435425393214142</v>
      </c>
      <c r="K78" s="31">
        <v>3.08987660591673</v>
      </c>
      <c r="L78" s="31">
        <v>2.7008272650539009</v>
      </c>
      <c r="M78" s="31">
        <v>2.369552314702883</v>
      </c>
      <c r="N78" s="31">
        <v>2.0895942521450301</v>
      </c>
      <c r="O78" s="31">
        <v>1.8548802739729819</v>
      </c>
      <c r="P78" s="31">
        <v>1.659722276090787</v>
      </c>
      <c r="Q78" s="31">
        <v>1.4988168537137649</v>
      </c>
      <c r="R78" s="31">
        <v>1.367245301368661</v>
      </c>
      <c r="S78" s="31">
        <v>1.260473612893513</v>
      </c>
      <c r="T78" s="31">
        <v>1.174352481437716</v>
      </c>
      <c r="U78" s="31">
        <v>1.105117299461984</v>
      </c>
      <c r="V78" s="31">
        <v>1.0493881587384311</v>
      </c>
      <c r="W78" s="31">
        <v>1.004169850350479</v>
      </c>
      <c r="X78" s="31">
        <v>0.9668518646929094</v>
      </c>
      <c r="Y78" s="31">
        <v>0.93520839147183055</v>
      </c>
      <c r="Z78" s="31">
        <v>0.9073983197046902</v>
      </c>
      <c r="AA78" s="31">
        <v>0.88196523772033342</v>
      </c>
      <c r="AB78" s="31">
        <v>0.85783743315887073</v>
      </c>
      <c r="AC78" s="31">
        <v>0.83432789297181764</v>
      </c>
      <c r="AD78" s="31">
        <v>0.81113430342202242</v>
      </c>
      <c r="AE78" s="31">
        <v>0.78833905008371419</v>
      </c>
      <c r="AF78" s="31">
        <v>0.76640921784232352</v>
      </c>
      <c r="AG78" s="31">
        <v>0.74619659089479051</v>
      </c>
      <c r="AH78" s="32">
        <v>0.72893765274933042</v>
      </c>
    </row>
    <row r="79" spans="1:34" x14ac:dyDescent="0.25">
      <c r="A79" s="30">
        <v>40</v>
      </c>
      <c r="B79" s="31">
        <v>10.605495877425991</v>
      </c>
      <c r="C79" s="31">
        <v>9.3255115589296516</v>
      </c>
      <c r="D79" s="31">
        <v>8.1800021646936205</v>
      </c>
      <c r="E79" s="31">
        <v>7.1589996726332821</v>
      </c>
      <c r="F79" s="31">
        <v>6.2529207599753613</v>
      </c>
      <c r="G79" s="31">
        <v>5.4525668032579233</v>
      </c>
      <c r="H79" s="31">
        <v>4.7491238783303897</v>
      </c>
      <c r="I79" s="31">
        <v>4.1341627603535152</v>
      </c>
      <c r="J79" s="31">
        <v>3.5996389237994069</v>
      </c>
      <c r="K79" s="31">
        <v>3.1378925424515112</v>
      </c>
      <c r="L79" s="31">
        <v>2.741648489404628</v>
      </c>
      <c r="M79" s="31">
        <v>2.4040163370648808</v>
      </c>
      <c r="N79" s="31">
        <v>2.1184903571497649</v>
      </c>
      <c r="O79" s="31">
        <v>1.8789495206881</v>
      </c>
      <c r="P79" s="31">
        <v>1.67965749802008</v>
      </c>
      <c r="Q79" s="31">
        <v>1.515262658797192</v>
      </c>
      <c r="R79" s="31">
        <v>1.380798071982323</v>
      </c>
      <c r="S79" s="31">
        <v>1.27168150584967</v>
      </c>
      <c r="T79" s="31">
        <v>1.1837154279847899</v>
      </c>
      <c r="U79" s="31">
        <v>1.1130870052845609</v>
      </c>
      <c r="V79" s="31">
        <v>1.056368103957243</v>
      </c>
      <c r="W79" s="31">
        <v>1.0105152895224201</v>
      </c>
      <c r="X79" s="31">
        <v>0.97286982681101919</v>
      </c>
      <c r="Y79" s="31">
        <v>0.94115767996530797</v>
      </c>
      <c r="Z79" s="31">
        <v>0.91348951243893639</v>
      </c>
      <c r="AA79" s="31">
        <v>0.88836068699682602</v>
      </c>
      <c r="AB79" s="31">
        <v>0.86465126571530959</v>
      </c>
      <c r="AC79" s="31">
        <v>0.8416260099820293</v>
      </c>
      <c r="AD79" s="31">
        <v>0.81893438049599254</v>
      </c>
      <c r="AE79" s="31">
        <v>0.79661053726758269</v>
      </c>
      <c r="AF79" s="31">
        <v>0.77507333961840885</v>
      </c>
      <c r="AG79" s="31">
        <v>0.75512634618155527</v>
      </c>
      <c r="AH79" s="32">
        <v>0.73795781490138523</v>
      </c>
    </row>
    <row r="80" spans="1:34" x14ac:dyDescent="0.25">
      <c r="A80" s="30">
        <v>50</v>
      </c>
      <c r="B80" s="31">
        <v>10.76581384741619</v>
      </c>
      <c r="C80" s="31">
        <v>9.4687859657203752</v>
      </c>
      <c r="D80" s="31">
        <v>8.3075099783991391</v>
      </c>
      <c r="E80" s="31">
        <v>7.2719696378040224</v>
      </c>
      <c r="F80" s="31">
        <v>6.3525333955979013</v>
      </c>
      <c r="G80" s="31">
        <v>5.5399544027550096</v>
      </c>
      <c r="H80" s="31">
        <v>4.8253705095609236</v>
      </c>
      <c r="I80" s="31">
        <v>4.200304265612548</v>
      </c>
      <c r="J80" s="31">
        <v>3.6566629198181531</v>
      </c>
      <c r="K80" s="31">
        <v>3.186738420397337</v>
      </c>
      <c r="L80" s="31">
        <v>2.7832074148810682</v>
      </c>
      <c r="M80" s="31">
        <v>2.439131250111612</v>
      </c>
      <c r="N80" s="31">
        <v>2.1479559722426349</v>
      </c>
      <c r="O80" s="31">
        <v>1.903512326739105</v>
      </c>
      <c r="P80" s="31">
        <v>1.700015758377375</v>
      </c>
      <c r="Q80" s="31">
        <v>1.532066411245083</v>
      </c>
      <c r="R80" s="31">
        <v>1.3946491287412639</v>
      </c>
      <c r="S80" s="31">
        <v>1.2831334535763039</v>
      </c>
      <c r="T80" s="31">
        <v>1.193273627771898</v>
      </c>
      <c r="U80" s="31">
        <v>1.12120859266109</v>
      </c>
      <c r="V80" s="31">
        <v>1.0634619888882659</v>
      </c>
      <c r="W80" s="31">
        <v>1.016942156409204</v>
      </c>
      <c r="X80" s="31">
        <v>0.97894213449096423</v>
      </c>
      <c r="Y80" s="31">
        <v>0.94713966171199371</v>
      </c>
      <c r="Z80" s="31">
        <v>0.91959717596206403</v>
      </c>
      <c r="AA80" s="31">
        <v>0.89476181444232239</v>
      </c>
      <c r="AB80" s="31">
        <v>0.87146541366515617</v>
      </c>
      <c r="AC80" s="31">
        <v>0.84892450945445563</v>
      </c>
      <c r="AD80" s="31">
        <v>0.82674033694532079</v>
      </c>
      <c r="AE80" s="31">
        <v>0.80489883058434275</v>
      </c>
      <c r="AF80" s="31">
        <v>0.78377062412926812</v>
      </c>
      <c r="AG80" s="31">
        <v>0.76411105064931939</v>
      </c>
      <c r="AH80" s="32">
        <v>0.74706014252506503</v>
      </c>
    </row>
    <row r="81" spans="1:34" x14ac:dyDescent="0.25">
      <c r="A81" s="30">
        <v>60</v>
      </c>
      <c r="B81" s="31">
        <v>10.92804030763558</v>
      </c>
      <c r="C81" s="31">
        <v>9.6138276012936892</v>
      </c>
      <c r="D81" s="31">
        <v>8.4366491892850171</v>
      </c>
      <c r="E81" s="31">
        <v>7.3864405983972468</v>
      </c>
      <c r="F81" s="31">
        <v>6.4535220547294259</v>
      </c>
      <c r="G81" s="31">
        <v>5.62859848369194</v>
      </c>
      <c r="H81" s="31">
        <v>4.9027595100065087</v>
      </c>
      <c r="I81" s="31">
        <v>4.2674794577062141</v>
      </c>
      <c r="J81" s="31">
        <v>3.7146173501354709</v>
      </c>
      <c r="K81" s="31">
        <v>3.2364169099500382</v>
      </c>
      <c r="L81" s="31">
        <v>2.825506559117029</v>
      </c>
      <c r="M81" s="31">
        <v>2.4748994189148878</v>
      </c>
      <c r="N81" s="31">
        <v>2.177993309933429</v>
      </c>
      <c r="O81" s="31">
        <v>1.928570752073768</v>
      </c>
      <c r="P81" s="31">
        <v>1.720798964548419</v>
      </c>
      <c r="Q81" s="31">
        <v>1.5492298658811869</v>
      </c>
      <c r="R81" s="31">
        <v>1.4088000739072719</v>
      </c>
      <c r="S81" s="31">
        <v>1.294830905773189</v>
      </c>
      <c r="T81" s="31">
        <v>1.203028377936789</v>
      </c>
      <c r="U81" s="31">
        <v>1.1294832061672919</v>
      </c>
      <c r="V81" s="31">
        <v>1.0706708055452501</v>
      </c>
      <c r="W81" s="31">
        <v>1.0234512904625801</v>
      </c>
      <c r="X81" s="31">
        <v>0.98506947462249006</v>
      </c>
      <c r="Y81" s="31">
        <v>0.9531548710396045</v>
      </c>
      <c r="Z81" s="31">
        <v>0.92572169203983634</v>
      </c>
      <c r="AA81" s="31">
        <v>0.90116884926049667</v>
      </c>
      <c r="AB81" s="31">
        <v>0.87827995365014999</v>
      </c>
      <c r="AC81" s="31">
        <v>0.8562233154688208</v>
      </c>
      <c r="AD81" s="31">
        <v>0.83455194428779222</v>
      </c>
      <c r="AE81" s="31">
        <v>0.81320354898974034</v>
      </c>
      <c r="AF81" s="31">
        <v>0.79250053776863916</v>
      </c>
      <c r="AG81" s="31">
        <v>0.77315001812982576</v>
      </c>
      <c r="AH81" s="32">
        <v>0.75624379689006804</v>
      </c>
    </row>
    <row r="82" spans="1:34" x14ac:dyDescent="0.25">
      <c r="A82" s="30">
        <v>70</v>
      </c>
      <c r="B82" s="31">
        <v>11.092179309680921</v>
      </c>
      <c r="C82" s="31">
        <v>9.7606403646843756</v>
      </c>
      <c r="D82" s="31">
        <v>8.5674235438240345</v>
      </c>
      <c r="E82" s="31">
        <v>7.5024161483237481</v>
      </c>
      <c r="F82" s="31">
        <v>6.555890178718716</v>
      </c>
      <c r="G82" s="31">
        <v>5.7185023348554784</v>
      </c>
      <c r="H82" s="31">
        <v>4.981294015891919</v>
      </c>
      <c r="I82" s="31">
        <v>4.3356913202972773</v>
      </c>
      <c r="J82" s="31">
        <v>3.7735050458521182</v>
      </c>
      <c r="K82" s="31">
        <v>3.286930689648357</v>
      </c>
      <c r="L82" s="31">
        <v>2.868548448089276</v>
      </c>
      <c r="M82" s="31">
        <v>2.5113232168894601</v>
      </c>
      <c r="N82" s="31">
        <v>2.208604591074887</v>
      </c>
      <c r="O82" s="31">
        <v>1.954126864982844</v>
      </c>
      <c r="P82" s="31">
        <v>1.7420090322619819</v>
      </c>
      <c r="Q82" s="31">
        <v>1.566754785872269</v>
      </c>
      <c r="R82" s="31">
        <v>1.423252518085059</v>
      </c>
      <c r="S82" s="31">
        <v>1.306775320483027</v>
      </c>
      <c r="T82" s="31">
        <v>1.212980983960195</v>
      </c>
      <c r="U82" s="31">
        <v>1.1379119987219231</v>
      </c>
      <c r="V82" s="31">
        <v>1.077995554284918</v>
      </c>
      <c r="W82" s="31">
        <v>1.030043539477244</v>
      </c>
      <c r="X82" s="31">
        <v>0.99125254243831207</v>
      </c>
      <c r="Y82" s="31">
        <v>0.95920385061886282</v>
      </c>
      <c r="Z82" s="31">
        <v>0.93186345078098032</v>
      </c>
      <c r="AA82" s="31">
        <v>0.90758202899809592</v>
      </c>
      <c r="AB82" s="31">
        <v>0.88509497065498244</v>
      </c>
      <c r="AC82" s="31">
        <v>0.86352236044780273</v>
      </c>
      <c r="AD82" s="31">
        <v>0.84236898238399127</v>
      </c>
      <c r="AE82" s="31">
        <v>0.82152431978240503</v>
      </c>
      <c r="AF82" s="31">
        <v>0.80126255527312662</v>
      </c>
      <c r="AG82" s="31">
        <v>0.78224257079773452</v>
      </c>
      <c r="AH82" s="32">
        <v>0.76550794760905905</v>
      </c>
    </row>
    <row r="83" spans="1:34" x14ac:dyDescent="0.25">
      <c r="A83" s="33">
        <v>80</v>
      </c>
      <c r="B83" s="34">
        <v>11.25823491349197</v>
      </c>
      <c r="C83" s="34">
        <v>9.9092281632701606</v>
      </c>
      <c r="D83" s="34">
        <v>8.699836796831919</v>
      </c>
      <c r="E83" s="34">
        <v>7.6198998898372334</v>
      </c>
      <c r="F83" s="34">
        <v>6.6596412172574713</v>
      </c>
      <c r="G83" s="34">
        <v>5.8096692533753318</v>
      </c>
      <c r="H83" s="34">
        <v>5.0609771717848542</v>
      </c>
      <c r="I83" s="34">
        <v>4.404942845391421</v>
      </c>
      <c r="J83" s="34">
        <v>3.8333288464117721</v>
      </c>
      <c r="K83" s="34">
        <v>3.3382824463739782</v>
      </c>
      <c r="L83" s="34">
        <v>2.91233561611747</v>
      </c>
      <c r="M83" s="34">
        <v>2.5484050257929991</v>
      </c>
      <c r="N83" s="34">
        <v>2.2397920448626869</v>
      </c>
      <c r="O83" s="34">
        <v>1.980182742099982</v>
      </c>
      <c r="P83" s="34">
        <v>1.7636478855896991</v>
      </c>
      <c r="Q83" s="34">
        <v>1.5846429427279589</v>
      </c>
      <c r="R83" s="34">
        <v>1.4380080802222741</v>
      </c>
      <c r="S83" s="34">
        <v>1.318968164091475</v>
      </c>
      <c r="T83" s="34">
        <v>1.22313275966573</v>
      </c>
      <c r="U83" s="34">
        <v>1.146496131586568</v>
      </c>
      <c r="V83" s="34">
        <v>1.0854372438068649</v>
      </c>
      <c r="W83" s="34">
        <v>1.0367197595908271</v>
      </c>
      <c r="X83" s="34">
        <v>0.99749204151400594</v>
      </c>
      <c r="Y83" s="34">
        <v>0.96528715146333255</v>
      </c>
      <c r="Z83" s="34">
        <v>0.93802285063704705</v>
      </c>
      <c r="AA83" s="34">
        <v>0.91400159954471161</v>
      </c>
      <c r="AB83" s="34">
        <v>0.89191055800725039</v>
      </c>
      <c r="AC83" s="34">
        <v>0.87082158515701025</v>
      </c>
      <c r="AD83" s="34">
        <v>0.85019123943756392</v>
      </c>
      <c r="AE83" s="34">
        <v>0.82986077860395124</v>
      </c>
      <c r="AF83" s="34">
        <v>0.81005615972238587</v>
      </c>
      <c r="AG83" s="34">
        <v>0.79138803917059874</v>
      </c>
      <c r="AH83" s="35">
        <v>0.77485177263759653</v>
      </c>
    </row>
    <row r="86" spans="1:34" ht="28.9" customHeight="1" x14ac:dyDescent="0.5">
      <c r="A86" s="1" t="s">
        <v>30</v>
      </c>
    </row>
    <row r="87" spans="1:34" ht="32.1" customHeight="1" x14ac:dyDescent="0.25"/>
    <row r="88" spans="1:34" x14ac:dyDescent="0.25">
      <c r="A88" s="2"/>
      <c r="B88" s="3"/>
      <c r="C88" s="3"/>
      <c r="D88" s="4"/>
    </row>
    <row r="89" spans="1:34" x14ac:dyDescent="0.25">
      <c r="A89" s="5" t="s">
        <v>31</v>
      </c>
      <c r="B89" s="6">
        <v>3.5</v>
      </c>
      <c r="C89" s="6" t="s">
        <v>11</v>
      </c>
      <c r="D89" s="7"/>
    </row>
    <row r="90" spans="1:34" x14ac:dyDescent="0.25">
      <c r="A90" s="8"/>
      <c r="B90" s="9"/>
      <c r="C90" s="9"/>
      <c r="D90" s="10"/>
    </row>
    <row r="93" spans="1:34" ht="48" customHeight="1" x14ac:dyDescent="0.25">
      <c r="A93" s="21" t="s">
        <v>32</v>
      </c>
      <c r="B93" s="23" t="s">
        <v>33</v>
      </c>
    </row>
    <row r="94" spans="1:34" x14ac:dyDescent="0.25">
      <c r="A94" s="5">
        <v>0</v>
      </c>
      <c r="B94" s="32">
        <v>0.22</v>
      </c>
    </row>
    <row r="95" spans="1:34" x14ac:dyDescent="0.25">
      <c r="A95" s="5">
        <v>0.125</v>
      </c>
      <c r="B95" s="32">
        <v>0.23302500000000001</v>
      </c>
    </row>
    <row r="96" spans="1:34" x14ac:dyDescent="0.25">
      <c r="A96" s="5">
        <v>0.25</v>
      </c>
      <c r="B96" s="32">
        <v>0.16002777777777791</v>
      </c>
    </row>
    <row r="97" spans="1:2" x14ac:dyDescent="0.25">
      <c r="A97" s="5">
        <v>0.375</v>
      </c>
      <c r="B97" s="32">
        <v>6.0026785714285547E-2</v>
      </c>
    </row>
    <row r="98" spans="1:2" x14ac:dyDescent="0.25">
      <c r="A98" s="5">
        <v>0.5</v>
      </c>
      <c r="B98" s="32">
        <v>5.0100000000000033E-2</v>
      </c>
    </row>
    <row r="99" spans="1:2" x14ac:dyDescent="0.25">
      <c r="A99" s="5">
        <v>0.625</v>
      </c>
      <c r="B99" s="32">
        <v>2.4293333333333281E-2</v>
      </c>
    </row>
    <row r="100" spans="1:2" x14ac:dyDescent="0.25">
      <c r="A100" s="5">
        <v>0.75</v>
      </c>
      <c r="B100" s="32">
        <v>-1.154166666666656E-2</v>
      </c>
    </row>
    <row r="101" spans="1:2" x14ac:dyDescent="0.25">
      <c r="A101" s="5">
        <v>0.875</v>
      </c>
      <c r="B101" s="32">
        <v>-2.7189393939393899E-2</v>
      </c>
    </row>
    <row r="102" spans="1:2" x14ac:dyDescent="0.25">
      <c r="A102" s="5">
        <v>1</v>
      </c>
      <c r="B102" s="32">
        <v>-3.7659574468084989E-2</v>
      </c>
    </row>
    <row r="103" spans="1:2" x14ac:dyDescent="0.25">
      <c r="A103" s="5">
        <v>1.125</v>
      </c>
      <c r="B103" s="32">
        <v>-3.9202127659574537E-2</v>
      </c>
    </row>
    <row r="104" spans="1:2" x14ac:dyDescent="0.25">
      <c r="A104" s="5">
        <v>1.25</v>
      </c>
      <c r="B104" s="32">
        <v>-3.9021739130434829E-2</v>
      </c>
    </row>
    <row r="105" spans="1:2" x14ac:dyDescent="0.25">
      <c r="A105" s="5">
        <v>1.375</v>
      </c>
      <c r="B105" s="32">
        <v>-3.7880434782608829E-2</v>
      </c>
    </row>
    <row r="106" spans="1:2" x14ac:dyDescent="0.25">
      <c r="A106" s="5">
        <v>1.5</v>
      </c>
      <c r="B106" s="32">
        <v>-3.5227272727272878E-2</v>
      </c>
    </row>
    <row r="107" spans="1:2" x14ac:dyDescent="0.25">
      <c r="A107" s="5">
        <v>1.625</v>
      </c>
      <c r="B107" s="32">
        <v>-2.835227272727282E-2</v>
      </c>
    </row>
    <row r="108" spans="1:2" x14ac:dyDescent="0.25">
      <c r="A108" s="5">
        <v>1.75</v>
      </c>
      <c r="B108" s="32">
        <v>-2.1477272727272959E-2</v>
      </c>
    </row>
    <row r="109" spans="1:2" x14ac:dyDescent="0.25">
      <c r="A109" s="5">
        <v>1.875</v>
      </c>
      <c r="B109" s="32">
        <v>-1.4602272727272891E-2</v>
      </c>
    </row>
    <row r="110" spans="1:2" x14ac:dyDescent="0.25">
      <c r="A110" s="5">
        <v>2</v>
      </c>
      <c r="B110" s="32">
        <v>-9.5143487858722064E-3</v>
      </c>
    </row>
    <row r="111" spans="1:2" x14ac:dyDescent="0.25">
      <c r="A111" s="5">
        <v>2.125</v>
      </c>
      <c r="B111" s="32">
        <v>-6.4238410596029194E-3</v>
      </c>
    </row>
    <row r="112" spans="1:2" x14ac:dyDescent="0.25">
      <c r="A112" s="5">
        <v>2.25</v>
      </c>
      <c r="B112" s="32">
        <v>-3.3333333333336319E-3</v>
      </c>
    </row>
    <row r="113" spans="1:2" x14ac:dyDescent="0.25">
      <c r="A113" s="5">
        <v>2.375</v>
      </c>
      <c r="B113" s="32">
        <v>-2.4282560706434531E-4</v>
      </c>
    </row>
    <row r="114" spans="1:2" x14ac:dyDescent="0.25">
      <c r="A114" s="5">
        <v>2.5</v>
      </c>
      <c r="B114" s="32">
        <v>2.8476821192049422E-3</v>
      </c>
    </row>
    <row r="115" spans="1:2" x14ac:dyDescent="0.25">
      <c r="A115" s="5">
        <v>2.625</v>
      </c>
      <c r="B115" s="32">
        <v>5.9381898454742288E-3</v>
      </c>
    </row>
    <row r="116" spans="1:2" x14ac:dyDescent="0.25">
      <c r="A116" s="5">
        <v>2.75</v>
      </c>
      <c r="B116" s="32">
        <v>9.0286975717435158E-3</v>
      </c>
    </row>
    <row r="117" spans="1:2" x14ac:dyDescent="0.25">
      <c r="A117" s="5">
        <v>2.875</v>
      </c>
      <c r="B117" s="32">
        <v>1.211920529801302E-2</v>
      </c>
    </row>
    <row r="118" spans="1:2" x14ac:dyDescent="0.25">
      <c r="A118" s="5">
        <v>3</v>
      </c>
      <c r="B118" s="32">
        <v>1.195329087048802E-2</v>
      </c>
    </row>
    <row r="119" spans="1:2" x14ac:dyDescent="0.25">
      <c r="A119" s="5">
        <v>3.125</v>
      </c>
      <c r="B119" s="32">
        <v>1.0148619957537131E-2</v>
      </c>
    </row>
    <row r="120" spans="1:2" x14ac:dyDescent="0.25">
      <c r="A120" s="5">
        <v>3.25</v>
      </c>
      <c r="B120" s="32">
        <v>8.3439490445853526E-3</v>
      </c>
    </row>
    <row r="121" spans="1:2" x14ac:dyDescent="0.25">
      <c r="A121" s="5">
        <v>3.375</v>
      </c>
      <c r="B121" s="32">
        <v>6.5392781316344628E-3</v>
      </c>
    </row>
    <row r="122" spans="1:2" x14ac:dyDescent="0.25">
      <c r="A122" s="5">
        <v>3.5</v>
      </c>
      <c r="B122" s="32">
        <v>0</v>
      </c>
    </row>
    <row r="123" spans="1:2" x14ac:dyDescent="0.25">
      <c r="A123" s="5">
        <v>3.625</v>
      </c>
      <c r="B123" s="32">
        <v>0</v>
      </c>
    </row>
    <row r="124" spans="1:2" x14ac:dyDescent="0.25">
      <c r="A124" s="5">
        <v>3.75</v>
      </c>
      <c r="B124" s="32">
        <v>0</v>
      </c>
    </row>
    <row r="125" spans="1:2" x14ac:dyDescent="0.25">
      <c r="A125" s="5">
        <v>3.875</v>
      </c>
      <c r="B125" s="32">
        <v>0</v>
      </c>
    </row>
    <row r="126" spans="1:2" x14ac:dyDescent="0.25">
      <c r="A126" s="8">
        <v>4</v>
      </c>
      <c r="B126" s="35">
        <v>0</v>
      </c>
    </row>
  </sheetData>
  <sheetProtection algorithmName="SHA-512" hashValue="2S1ohwUz+KHSscR+lKo5CzOcnfIfJf64H5bk1QzsjG+vwxT+ughqNAJ5MtYrPZb3EF1XlyvM01uVSKog989d1g==" saltValue="HfpGeeL0Oat9DLomundqTw==" spinCount="100000" sheet="1" objects="1" scenarios="1"/>
  <protectedRanges>
    <protectedRange sqref="B36" name="Range1"/>
  </protectedRange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P01, 0411, P59</vt:lpstr>
      <vt:lpstr>E40</vt:lpstr>
      <vt:lpstr>P04</vt:lpstr>
      <vt:lpstr>P05</vt:lpstr>
      <vt:lpstr>P12</vt:lpstr>
      <vt:lpstr>E37, E38 (&lt;2009)</vt:lpstr>
      <vt:lpstr>E38 (2009+), E67, E78</vt:lpstr>
      <vt:lpstr>Generic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Steven Gerakelis</cp:lastModifiedBy>
  <dcterms:created xsi:type="dcterms:W3CDTF">2022-05-20T03:41:32Z</dcterms:created>
  <dcterms:modified xsi:type="dcterms:W3CDTF">2022-05-23T00:03:02Z</dcterms:modified>
</cp:coreProperties>
</file>