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950S\"/>
    </mc:Choice>
  </mc:AlternateContent>
  <xr:revisionPtr revIDLastSave="0" documentId="8_{19060015-AB25-4B64-ACED-056039829B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01, 0411, P59" sheetId="1" r:id="rId1"/>
    <sheet name="E40" sheetId="2" r:id="rId2"/>
    <sheet name="P04" sheetId="3" r:id="rId3"/>
    <sheet name="P05" sheetId="4" r:id="rId4"/>
    <sheet name="P12" sheetId="5" r:id="rId5"/>
    <sheet name="E37, E38 (&lt;2009)" sheetId="6" r:id="rId6"/>
    <sheet name="E38 (2009+), E67, E78" sheetId="7" r:id="rId7"/>
    <sheet name="Generi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3" i="8" l="1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E58" i="8"/>
  <c r="C58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E74" i="7"/>
  <c r="C74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E74" i="6"/>
  <c r="C74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E74" i="5"/>
  <c r="C74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E57" i="4"/>
  <c r="C57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58" i="1"/>
  <c r="C58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</calcChain>
</file>

<file path=xl/sharedStrings.xml><?xml version="1.0" encoding="utf-8"?>
<sst xmlns="http://schemas.openxmlformats.org/spreadsheetml/2006/main" count="302" uniqueCount="45">
  <si>
    <t>P01, 0411, P59</t>
  </si>
  <si>
    <t>Injector Type:</t>
  </si>
  <si>
    <t>Matched Set:</t>
  </si>
  <si>
    <t>None selected</t>
  </si>
  <si>
    <t>Report Date:</t>
  </si>
  <si>
    <t>24/10/2022</t>
  </si>
  <si>
    <t>(c) Injectors Online Pty Ltd ATF Injectors Online Trust 2020</t>
  </si>
  <si>
    <t>Reference Pressure (gauge):</t>
  </si>
  <si>
    <t>kPa</t>
  </si>
  <si>
    <t>Reference Voltage (gauge):</t>
  </si>
  <si>
    <t>V</t>
  </si>
  <si>
    <t>Minimum Pulse Width:</t>
  </si>
  <si>
    <t>ms</t>
  </si>
  <si>
    <t>Static Flow</t>
  </si>
  <si>
    <t>Scaling</t>
  </si>
  <si>
    <t>%</t>
  </si>
  <si>
    <t>Edit to update</t>
  </si>
  <si>
    <t>Stoich (Petrol)</t>
  </si>
  <si>
    <t>Stoich (Ethanol)</t>
  </si>
  <si>
    <t>Manifold Vacuum [kPa]</t>
  </si>
  <si>
    <t>Flow [lb/h]</t>
  </si>
  <si>
    <t>Flow (Scaled) [lb/h]</t>
  </si>
  <si>
    <t>Flow [g/s]</t>
  </si>
  <si>
    <t>Flow (Scaled) [g/s]</t>
  </si>
  <si>
    <t>Air Fuel Ratio</t>
  </si>
  <si>
    <t>Ethonol Percentage [%]</t>
  </si>
  <si>
    <t>Stoich</t>
  </si>
  <si>
    <t>Stoich  (Scaled)</t>
  </si>
  <si>
    <t>Battery Offsets</t>
  </si>
  <si>
    <t>Table data (Offset) [ms]</t>
  </si>
  <si>
    <t>Battery Voltage [V]</t>
  </si>
  <si>
    <t>Short Pulse Adder</t>
  </si>
  <si>
    <t>Short Pulse Limit:</t>
  </si>
  <si>
    <t>Effective Pulse Width [ms]</t>
  </si>
  <si>
    <t>Adder [ms]</t>
  </si>
  <si>
    <t>E40</t>
  </si>
  <si>
    <t>P04</t>
  </si>
  <si>
    <t>P05</t>
  </si>
  <si>
    <t>P12</t>
  </si>
  <si>
    <t>E37, E38 (&lt;2009)</t>
  </si>
  <si>
    <t>Differential Pressure [kPa]</t>
  </si>
  <si>
    <t>E38 (2009+), E67, E78</t>
  </si>
  <si>
    <t>Generic</t>
  </si>
  <si>
    <t>Pressures</t>
  </si>
  <si>
    <t>HP950S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</si>
</sst>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" fontId="2" fillId="2" borderId="10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wrapText="1"/>
    </xf>
    <xf numFmtId="1" fontId="2" fillId="2" borderId="12" xfId="0" applyNumberFormat="1" applyFont="1" applyFill="1" applyBorder="1" applyAlignment="1">
      <alignment wrapText="1"/>
    </xf>
    <xf numFmtId="2" fontId="2" fillId="2" borderId="10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DA088F-88C9-4113-84C0-7BE665C4E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37C5ED-599C-4761-8EC2-6CD5893B4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0E01D2-4FAC-4608-95D3-7FADAD06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0E2761-4722-4569-A9ED-938AEF4B8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D01207-A708-4EAC-9A2B-BC9102CF9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4CF3FC-DD3D-4B9C-A12A-EDFD2567B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92A915-293D-4958-B95C-8C6A3382D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B9AD4A-E430-4951-BF1D-BF8B2E03D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C161"/>
  <sheetViews>
    <sheetView tabSelected="1"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44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6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300</v>
      </c>
      <c r="C24" s="13" t="s">
        <v>8</v>
      </c>
      <c r="D24" s="14"/>
    </row>
    <row r="25" spans="1:4" x14ac:dyDescent="0.25">
      <c r="A25" s="5" t="s">
        <v>9</v>
      </c>
      <c r="B25" s="13">
        <v>14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11</v>
      </c>
      <c r="B31" s="6">
        <v>0.18999999999999989</v>
      </c>
      <c r="C31" s="6" t="s">
        <v>12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13</v>
      </c>
    </row>
    <row r="37" spans="1:5" x14ac:dyDescent="0.25">
      <c r="A37" s="17" t="s">
        <v>14</v>
      </c>
      <c r="B37" s="36">
        <v>100</v>
      </c>
      <c r="C37" s="17" t="s">
        <v>15</v>
      </c>
      <c r="D37" s="17" t="s">
        <v>16</v>
      </c>
      <c r="E37" s="17"/>
    </row>
    <row r="38" spans="1:5" hidden="1" x14ac:dyDescent="0.25">
      <c r="A38" s="17" t="s">
        <v>17</v>
      </c>
      <c r="B38" s="17">
        <v>14.7</v>
      </c>
      <c r="C38" s="17"/>
      <c r="D38" s="17" t="s">
        <v>16</v>
      </c>
      <c r="E38" s="17"/>
    </row>
    <row r="39" spans="1:5" hidden="1" x14ac:dyDescent="0.25">
      <c r="A39" s="17" t="s">
        <v>18</v>
      </c>
      <c r="B39" s="17">
        <v>9.0079999999999991</v>
      </c>
      <c r="C39" s="17"/>
      <c r="D39" s="17" t="s">
        <v>16</v>
      </c>
      <c r="E39" s="17"/>
    </row>
    <row r="41" spans="1:5" ht="48" customHeight="1" x14ac:dyDescent="0.25">
      <c r="A41" s="18" t="s">
        <v>19</v>
      </c>
      <c r="B41" s="19" t="s">
        <v>20</v>
      </c>
      <c r="C41" s="19" t="s">
        <v>21</v>
      </c>
      <c r="D41" s="19" t="s">
        <v>22</v>
      </c>
      <c r="E41" s="20" t="s">
        <v>23</v>
      </c>
    </row>
    <row r="42" spans="1:5" x14ac:dyDescent="0.25">
      <c r="A42" s="5">
        <v>0</v>
      </c>
      <c r="B42" s="6">
        <v>101.14927071024179</v>
      </c>
      <c r="C42" s="6">
        <f>101.149270710241 * $B$37 / 100</f>
        <v>101.149270710241</v>
      </c>
      <c r="D42" s="6">
        <v>12.744583333333329</v>
      </c>
      <c r="E42" s="7">
        <f>12.7445833333333 * $B$37 / 100</f>
        <v>12.744583333333299</v>
      </c>
    </row>
    <row r="43" spans="1:5" x14ac:dyDescent="0.25">
      <c r="A43" s="5">
        <v>5</v>
      </c>
      <c r="B43" s="6">
        <v>101.7991366690771</v>
      </c>
      <c r="C43" s="6">
        <f>101.799136669077 * $B$37 / 100</f>
        <v>101.799136669077</v>
      </c>
      <c r="D43" s="6">
        <v>12.826465000000001</v>
      </c>
      <c r="E43" s="7">
        <f>12.8264649999999 * $B$37 / 100</f>
        <v>12.826464999999898</v>
      </c>
    </row>
    <row r="44" spans="1:5" x14ac:dyDescent="0.25">
      <c r="A44" s="5">
        <v>10</v>
      </c>
      <c r="B44" s="6">
        <v>102.44900262791229</v>
      </c>
      <c r="C44" s="6">
        <f>102.449002627912 * $B$37 / 100</f>
        <v>102.44900262791199</v>
      </c>
      <c r="D44" s="6">
        <v>12.90834666666666</v>
      </c>
      <c r="E44" s="7">
        <f>12.9083466666666 * $B$37 / 100</f>
        <v>12.908346666666597</v>
      </c>
    </row>
    <row r="45" spans="1:5" x14ac:dyDescent="0.25">
      <c r="A45" s="5">
        <v>15</v>
      </c>
      <c r="B45" s="6">
        <v>103.0988685867476</v>
      </c>
      <c r="C45" s="6">
        <f>103.098868586747 * $B$37 / 100</f>
        <v>103.09886858674699</v>
      </c>
      <c r="D45" s="6">
        <v>12.990228333333331</v>
      </c>
      <c r="E45" s="7">
        <f>12.9902283333333 * $B$37 / 100</f>
        <v>12.990228333333301</v>
      </c>
    </row>
    <row r="46" spans="1:5" x14ac:dyDescent="0.25">
      <c r="A46" s="5">
        <v>20</v>
      </c>
      <c r="B46" s="6">
        <v>103.74873454558281</v>
      </c>
      <c r="C46" s="6">
        <f>103.748734545582 * $B$37 / 100</f>
        <v>103.748734545582</v>
      </c>
      <c r="D46" s="6">
        <v>13.07211</v>
      </c>
      <c r="E46" s="7">
        <f>13.0721099999999 * $B$37 / 100</f>
        <v>13.072109999999901</v>
      </c>
    </row>
    <row r="47" spans="1:5" x14ac:dyDescent="0.25">
      <c r="A47" s="5">
        <v>25</v>
      </c>
      <c r="B47" s="6">
        <v>104.3986005044181</v>
      </c>
      <c r="C47" s="6">
        <f>104.398600504418 * $B$37 / 100</f>
        <v>104.39860050441798</v>
      </c>
      <c r="D47" s="6">
        <v>13.15399166666667</v>
      </c>
      <c r="E47" s="7">
        <f>13.1539916666666 * $B$37 / 100</f>
        <v>13.153991666666601</v>
      </c>
    </row>
    <row r="48" spans="1:5" x14ac:dyDescent="0.25">
      <c r="A48" s="5">
        <v>30</v>
      </c>
      <c r="B48" s="6">
        <v>105.04846646325331</v>
      </c>
      <c r="C48" s="6">
        <f>105.048466463253 * $B$37 / 100</f>
        <v>105.04846646325301</v>
      </c>
      <c r="D48" s="6">
        <v>13.23587333333333</v>
      </c>
      <c r="E48" s="7">
        <f>13.2358733333333 * $B$37 / 100</f>
        <v>13.2358733333333</v>
      </c>
    </row>
    <row r="49" spans="1:18" x14ac:dyDescent="0.25">
      <c r="A49" s="5">
        <v>35</v>
      </c>
      <c r="B49" s="6">
        <v>105.6983324220886</v>
      </c>
      <c r="C49" s="6">
        <f>105.698332422088 * $B$37 / 100</f>
        <v>105.698332422088</v>
      </c>
      <c r="D49" s="6">
        <v>13.317755</v>
      </c>
      <c r="E49" s="7">
        <f>13.317755 * $B$37 / 100</f>
        <v>13.317755</v>
      </c>
    </row>
    <row r="50" spans="1:18" x14ac:dyDescent="0.25">
      <c r="A50" s="5">
        <v>40</v>
      </c>
      <c r="B50" s="6">
        <v>106.3481983809238</v>
      </c>
      <c r="C50" s="6">
        <f>106.348198380923 * $B$37 / 100</f>
        <v>106.34819838092298</v>
      </c>
      <c r="D50" s="6">
        <v>13.39963666666667</v>
      </c>
      <c r="E50" s="7">
        <f>13.3996366666666 * $B$37 / 100</f>
        <v>13.3996366666666</v>
      </c>
    </row>
    <row r="51" spans="1:18" x14ac:dyDescent="0.25">
      <c r="A51" s="5">
        <v>45</v>
      </c>
      <c r="B51" s="6">
        <v>106.9980643397591</v>
      </c>
      <c r="C51" s="6">
        <f>106.998064339759 * $B$37 / 100</f>
        <v>106.998064339759</v>
      </c>
      <c r="D51" s="6">
        <v>13.48151833333333</v>
      </c>
      <c r="E51" s="7">
        <f>13.4815183333333 * $B$37 / 100</f>
        <v>13.4815183333333</v>
      </c>
    </row>
    <row r="52" spans="1:18" x14ac:dyDescent="0.25">
      <c r="A52" s="5">
        <v>50</v>
      </c>
      <c r="B52" s="6">
        <v>107.6479302985943</v>
      </c>
      <c r="C52" s="6">
        <f>107.647930298594 * $B$37 / 100</f>
        <v>107.64793029859401</v>
      </c>
      <c r="D52" s="6">
        <v>13.5634</v>
      </c>
      <c r="E52" s="7">
        <f>13.5634 * $B$37 / 100</f>
        <v>13.5634</v>
      </c>
    </row>
    <row r="53" spans="1:18" x14ac:dyDescent="0.25">
      <c r="A53" s="5">
        <v>55</v>
      </c>
      <c r="B53" s="6">
        <v>108.2977962574296</v>
      </c>
      <c r="C53" s="6">
        <f>108.297796257429 * $B$37 / 100</f>
        <v>108.297796257429</v>
      </c>
      <c r="D53" s="6">
        <v>13.645281666666669</v>
      </c>
      <c r="E53" s="7">
        <f>13.6452816666666 * $B$37 / 100</f>
        <v>13.645281666666598</v>
      </c>
    </row>
    <row r="54" spans="1:18" x14ac:dyDescent="0.25">
      <c r="A54" s="5">
        <v>60</v>
      </c>
      <c r="B54" s="6">
        <v>108.9476622162648</v>
      </c>
      <c r="C54" s="6">
        <f>108.947662216264 * $B$37 / 100</f>
        <v>108.94766221626399</v>
      </c>
      <c r="D54" s="6">
        <v>13.72716333333333</v>
      </c>
      <c r="E54" s="7">
        <f>13.7271633333333 * $B$37 / 100</f>
        <v>13.7271633333333</v>
      </c>
    </row>
    <row r="55" spans="1:18" x14ac:dyDescent="0.25">
      <c r="A55" s="5">
        <v>65</v>
      </c>
      <c r="B55" s="6">
        <v>109.59752817510009</v>
      </c>
      <c r="C55" s="6">
        <f>109.5975281751 * $B$37 / 100</f>
        <v>109.5975281751</v>
      </c>
      <c r="D55" s="6">
        <v>13.809044999999999</v>
      </c>
      <c r="E55" s="7">
        <f>13.8090449999999 * $B$37 / 100</f>
        <v>13.809044999999902</v>
      </c>
    </row>
    <row r="56" spans="1:18" x14ac:dyDescent="0.25">
      <c r="A56" s="5">
        <v>70</v>
      </c>
      <c r="B56" s="6">
        <v>110.2473941339353</v>
      </c>
      <c r="C56" s="6">
        <f>110.247394133935 * $B$37 / 100</f>
        <v>110.24739413393499</v>
      </c>
      <c r="D56" s="6">
        <v>13.890926666666671</v>
      </c>
      <c r="E56" s="7">
        <f>13.8909266666666 * $B$37 / 100</f>
        <v>13.890926666666598</v>
      </c>
    </row>
    <row r="57" spans="1:18" x14ac:dyDescent="0.25">
      <c r="A57" s="5">
        <v>75</v>
      </c>
      <c r="B57" s="6">
        <v>110.89726009277059</v>
      </c>
      <c r="C57" s="6">
        <f>110.89726009277 * $B$37 / 100</f>
        <v>110.89726009277</v>
      </c>
      <c r="D57" s="6">
        <v>13.97280833333333</v>
      </c>
      <c r="E57" s="7">
        <f>13.9728083333333 * $B$37 / 100</f>
        <v>13.972808333333298</v>
      </c>
    </row>
    <row r="58" spans="1:18" x14ac:dyDescent="0.25">
      <c r="A58" s="8">
        <v>80</v>
      </c>
      <c r="B58" s="9">
        <v>111.5471260516058</v>
      </c>
      <c r="C58" s="9">
        <f>111.547126051605 * $B$37 / 100</f>
        <v>111.54712605160501</v>
      </c>
      <c r="D58" s="9">
        <v>14.054690000000001</v>
      </c>
      <c r="E58" s="10">
        <f>14.0546899999999 * $B$37 / 100</f>
        <v>14.054689999999901</v>
      </c>
    </row>
    <row r="60" spans="1:18" ht="28.9" customHeight="1" x14ac:dyDescent="0.5">
      <c r="A60" s="1" t="s">
        <v>24</v>
      </c>
      <c r="B60" s="1"/>
    </row>
    <row r="61" spans="1:18" x14ac:dyDescent="0.25">
      <c r="A61" s="21" t="s">
        <v>25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26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27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29" ht="28.9" customHeight="1" x14ac:dyDescent="0.5">
      <c r="A65" s="1" t="s">
        <v>28</v>
      </c>
      <c r="B65" s="1"/>
    </row>
    <row r="66" spans="1:29" x14ac:dyDescent="0.25">
      <c r="A66" s="24" t="s">
        <v>29</v>
      </c>
      <c r="B66" s="25" t="s">
        <v>30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6"/>
    </row>
    <row r="67" spans="1:29" x14ac:dyDescent="0.25">
      <c r="A67" s="27" t="s">
        <v>19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9">
        <v>18</v>
      </c>
    </row>
    <row r="68" spans="1:29" x14ac:dyDescent="0.25">
      <c r="A68" s="30">
        <v>0</v>
      </c>
      <c r="B68" s="31">
        <v>5.75765545548271</v>
      </c>
      <c r="C68" s="31">
        <v>5.1791120905708894</v>
      </c>
      <c r="D68" s="31">
        <v>4.6503833498417659</v>
      </c>
      <c r="E68" s="31">
        <v>4.1694057748295306</v>
      </c>
      <c r="F68" s="31">
        <v>3.7340669363397621</v>
      </c>
      <c r="G68" s="31">
        <v>3.342205434449423</v>
      </c>
      <c r="H68" s="31">
        <v>2.9916108985068739</v>
      </c>
      <c r="I68" s="31">
        <v>2.6800239871318512</v>
      </c>
      <c r="J68" s="31">
        <v>2.4051363882154768</v>
      </c>
      <c r="K68" s="31">
        <v>2.1645908189202721</v>
      </c>
      <c r="L68" s="31">
        <v>1.955981025680132</v>
      </c>
      <c r="M68" s="31">
        <v>1.7768517842003491</v>
      </c>
      <c r="N68" s="31">
        <v>1.624698899457597</v>
      </c>
      <c r="O68" s="31">
        <v>1.496969205699936</v>
      </c>
      <c r="P68" s="31">
        <v>1.391060566446817</v>
      </c>
      <c r="Q68" s="31">
        <v>1.304321874489073</v>
      </c>
      <c r="R68" s="31">
        <v>1.2340530518889281</v>
      </c>
      <c r="S68" s="31">
        <v>1.1775050499799931</v>
      </c>
      <c r="T68" s="31">
        <v>1.1318798493672619</v>
      </c>
      <c r="U68" s="31">
        <v>1.094330459927126</v>
      </c>
      <c r="V68" s="31">
        <v>1.0619609208073459</v>
      </c>
      <c r="W68" s="31">
        <v>1.031826300427082</v>
      </c>
      <c r="X68" s="31">
        <v>1.0009326964768861</v>
      </c>
      <c r="Y68" s="31">
        <v>0.96623723591867938</v>
      </c>
      <c r="Z68" s="31">
        <v>0.92464807498578394</v>
      </c>
      <c r="AA68" s="31">
        <v>0.87302439918290475</v>
      </c>
      <c r="AB68" s="31">
        <v>0.80817642328614092</v>
      </c>
      <c r="AC68" s="32">
        <v>0.72686539134296635</v>
      </c>
    </row>
    <row r="69" spans="1:29" x14ac:dyDescent="0.25">
      <c r="A69" s="30">
        <v>5</v>
      </c>
      <c r="B69" s="31">
        <v>5.8107946524053169</v>
      </c>
      <c r="C69" s="31">
        <v>5.2261253773240162</v>
      </c>
      <c r="D69" s="31">
        <v>4.6917660665985794</v>
      </c>
      <c r="E69" s="31">
        <v>4.2056333412408469</v>
      </c>
      <c r="F69" s="31">
        <v>3.7655948515340421</v>
      </c>
      <c r="G69" s="31">
        <v>3.369469277032787</v>
      </c>
      <c r="H69" s="31">
        <v>3.0150263265630781</v>
      </c>
      <c r="I69" s="31">
        <v>2.6999867382223059</v>
      </c>
      <c r="J69" s="31">
        <v>2.4220222793792452</v>
      </c>
      <c r="K69" s="31">
        <v>2.1787557466740588</v>
      </c>
      <c r="L69" s="31">
        <v>1.967760966018296</v>
      </c>
      <c r="M69" s="31">
        <v>1.7865627925948939</v>
      </c>
      <c r="N69" s="31">
        <v>1.6326371108581781</v>
      </c>
      <c r="O69" s="31">
        <v>1.503410834533853</v>
      </c>
      <c r="P69" s="31">
        <v>1.3962619066190221</v>
      </c>
      <c r="Q69" s="31">
        <v>1.3085192993821659</v>
      </c>
      <c r="R69" s="31">
        <v>1.2374630143631591</v>
      </c>
      <c r="S69" s="31">
        <v>1.180324082373255</v>
      </c>
      <c r="T69" s="31">
        <v>1.134284563495104</v>
      </c>
      <c r="U69" s="31">
        <v>1.096477547082741</v>
      </c>
      <c r="V69" s="31">
        <v>1.063987151761576</v>
      </c>
      <c r="W69" s="31">
        <v>1.0338485254284191</v>
      </c>
      <c r="X69" s="31">
        <v>1.0030478452514671</v>
      </c>
      <c r="Y69" s="31">
        <v>0.96852231767029684</v>
      </c>
      <c r="Z69" s="31">
        <v>0.92716017839587272</v>
      </c>
      <c r="AA69" s="31">
        <v>0.87580069241055558</v>
      </c>
      <c r="AB69" s="31">
        <v>0.81123415396807907</v>
      </c>
      <c r="AC69" s="32">
        <v>0.73020188659358087</v>
      </c>
    </row>
    <row r="70" spans="1:29" x14ac:dyDescent="0.25">
      <c r="A70" s="30">
        <v>10</v>
      </c>
      <c r="B70" s="31">
        <v>5.8648452376455928</v>
      </c>
      <c r="C70" s="31">
        <v>5.2739696566653338</v>
      </c>
      <c r="D70" s="31">
        <v>4.7339032117375934</v>
      </c>
      <c r="E70" s="31">
        <v>4.2425426033518567</v>
      </c>
      <c r="F70" s="31">
        <v>3.797735561268996</v>
      </c>
      <c r="G70" s="31">
        <v>3.3972808445212852</v>
      </c>
      <c r="H70" s="31">
        <v>3.0389282414123682</v>
      </c>
      <c r="I70" s="31">
        <v>2.7203785695172789</v>
      </c>
      <c r="J70" s="31">
        <v>2.439283675682451</v>
      </c>
      <c r="K70" s="31">
        <v>2.1932464360256851</v>
      </c>
      <c r="L70" s="31">
        <v>1.9798207559361869</v>
      </c>
      <c r="M70" s="31">
        <v>1.796511570074538</v>
      </c>
      <c r="N70" s="31">
        <v>1.640774842372716</v>
      </c>
      <c r="O70" s="31">
        <v>1.510017566034072</v>
      </c>
      <c r="P70" s="31">
        <v>1.401597763533357</v>
      </c>
      <c r="Q70" s="31">
        <v>1.312824486616704</v>
      </c>
      <c r="R70" s="31">
        <v>1.2409578163016299</v>
      </c>
      <c r="S70" s="31">
        <v>1.1832088628770401</v>
      </c>
      <c r="T70" s="31">
        <v>1.1367397659032339</v>
      </c>
      <c r="U70" s="31">
        <v>1.098663694211895</v>
      </c>
      <c r="V70" s="31">
        <v>1.0660448459060829</v>
      </c>
      <c r="W70" s="31">
        <v>1.035898448360258</v>
      </c>
      <c r="X70" s="31">
        <v>1.005190758220261</v>
      </c>
      <c r="Y70" s="31">
        <v>0.97083906140331566</v>
      </c>
      <c r="Z70" s="31">
        <v>0.92971167309804548</v>
      </c>
      <c r="AA70" s="31">
        <v>0.87862793776445081</v>
      </c>
      <c r="AB70" s="31">
        <v>0.81435822913391154</v>
      </c>
      <c r="AC70" s="32">
        <v>0.73362395020922033</v>
      </c>
    </row>
    <row r="71" spans="1:29" x14ac:dyDescent="0.25">
      <c r="A71" s="30">
        <v>15</v>
      </c>
      <c r="B71" s="31">
        <v>5.9198169189563838</v>
      </c>
      <c r="C71" s="31">
        <v>5.3226544474383566</v>
      </c>
      <c r="D71" s="31">
        <v>4.7768041151929799</v>
      </c>
      <c r="E71" s="31">
        <v>4.280142702187395</v>
      </c>
      <c r="F71" s="31">
        <v>3.830498017660124</v>
      </c>
      <c r="G71" s="31">
        <v>3.4256489001210828</v>
      </c>
      <c r="H71" s="31">
        <v>3.0633252173515659</v>
      </c>
      <c r="I71" s="31">
        <v>2.7412078664042618</v>
      </c>
      <c r="J71" s="31">
        <v>2.4569287736032428</v>
      </c>
      <c r="K71" s="31">
        <v>2.2080708945439702</v>
      </c>
      <c r="L71" s="31">
        <v>1.9921682140932879</v>
      </c>
      <c r="M71" s="31">
        <v>1.8067057463894309</v>
      </c>
      <c r="N71" s="31">
        <v>1.649119534842022</v>
      </c>
      <c r="O71" s="31">
        <v>1.5167966521320639</v>
      </c>
      <c r="P71" s="31">
        <v>1.4070752002119571</v>
      </c>
      <c r="Q71" s="31">
        <v>1.3172443103054789</v>
      </c>
      <c r="R71" s="31">
        <v>1.2445441429077999</v>
      </c>
      <c r="S71" s="31">
        <v>1.186165887785473</v>
      </c>
      <c r="T71" s="31">
        <v>1.1392517639764479</v>
      </c>
      <c r="U71" s="31">
        <v>1.1008950197900489</v>
      </c>
      <c r="V71" s="31">
        <v>1.068139932806992</v>
      </c>
      <c r="W71" s="31">
        <v>1.0379818098793829</v>
      </c>
      <c r="X71" s="31">
        <v>1.007366987130708</v>
      </c>
      <c r="Y71" s="31">
        <v>0.97319282995585032</v>
      </c>
      <c r="Z71" s="31">
        <v>0.93230773302106584</v>
      </c>
      <c r="AA71" s="31">
        <v>0.88151112026401901</v>
      </c>
      <c r="AB71" s="31">
        <v>0.81755344489373727</v>
      </c>
      <c r="AC71" s="32">
        <v>0.73713618939064784</v>
      </c>
    </row>
    <row r="72" spans="1:29" x14ac:dyDescent="0.25">
      <c r="A72" s="30">
        <v>20</v>
      </c>
      <c r="B72" s="31">
        <v>5.9757191041540576</v>
      </c>
      <c r="C72" s="31">
        <v>5.3721889685501107</v>
      </c>
      <c r="D72" s="31">
        <v>4.8204778069624359</v>
      </c>
      <c r="E72" s="31">
        <v>4.3184424788358244</v>
      </c>
      <c r="F72" s="31">
        <v>3.8638908728864458</v>
      </c>
      <c r="G72" s="31">
        <v>3.4545819071018649</v>
      </c>
      <c r="H72" s="31">
        <v>3.088225528741027</v>
      </c>
      <c r="I72" s="31">
        <v>2.7624827143342672</v>
      </c>
      <c r="J72" s="31">
        <v>2.474965469683307</v>
      </c>
      <c r="K72" s="31">
        <v>2.2232368298612508</v>
      </c>
      <c r="L72" s="31">
        <v>2.0048108592126002</v>
      </c>
      <c r="M72" s="31">
        <v>1.8171526513532359</v>
      </c>
      <c r="N72" s="31">
        <v>1.657678329170426</v>
      </c>
      <c r="O72" s="31">
        <v>1.5237550448228261</v>
      </c>
      <c r="P72" s="31">
        <v>1.4127009797404819</v>
      </c>
      <c r="Q72" s="31">
        <v>1.321785344624822</v>
      </c>
      <c r="R72" s="31">
        <v>1.2482283794486639</v>
      </c>
      <c r="S72" s="31">
        <v>1.189201353456212</v>
      </c>
      <c r="T72" s="31">
        <v>1.1418265651630579</v>
      </c>
      <c r="U72" s="31">
        <v>1.103177342356181</v>
      </c>
      <c r="V72" s="31">
        <v>1.0702780420939411</v>
      </c>
      <c r="W72" s="31">
        <v>1.040104050706097</v>
      </c>
      <c r="X72" s="31">
        <v>1.009581783793783</v>
      </c>
      <c r="Y72" s="31">
        <v>0.97558868622952943</v>
      </c>
      <c r="Z72" s="31">
        <v>0.93495323215724624</v>
      </c>
      <c r="AA72" s="31">
        <v>0.88445492499223377</v>
      </c>
      <c r="AB72" s="31">
        <v>0.82082429742118002</v>
      </c>
      <c r="AC72" s="32">
        <v>0.74074291140215176</v>
      </c>
    </row>
    <row r="73" spans="1:29" x14ac:dyDescent="0.25">
      <c r="A73" s="30">
        <v>25</v>
      </c>
      <c r="B73" s="31">
        <v>6.0325609011184902</v>
      </c>
      <c r="C73" s="31">
        <v>5.4225821389711362</v>
      </c>
      <c r="D73" s="31">
        <v>4.864933017107167</v>
      </c>
      <c r="E73" s="31">
        <v>4.3574504744490108</v>
      </c>
      <c r="F73" s="31">
        <v>3.8979224791904952</v>
      </c>
      <c r="G73" s="31">
        <v>3.4840880287968301</v>
      </c>
      <c r="H73" s="31">
        <v>3.1136371500046098</v>
      </c>
      <c r="I73" s="31">
        <v>2.7842108988218151</v>
      </c>
      <c r="J73" s="31">
        <v>2.4934013605278218</v>
      </c>
      <c r="K73" s="31">
        <v>2.238751649673381</v>
      </c>
      <c r="L73" s="31">
        <v>2.0177559100806399</v>
      </c>
      <c r="M73" s="31">
        <v>1.8278593148431299</v>
      </c>
      <c r="N73" s="31">
        <v>1.66645806632577</v>
      </c>
      <c r="O73" s="31">
        <v>1.530899396164862</v>
      </c>
      <c r="P73" s="31">
        <v>1.418481565268098</v>
      </c>
      <c r="Q73" s="31">
        <v>1.3264538638145611</v>
      </c>
      <c r="R73" s="31">
        <v>1.2520166112547111</v>
      </c>
      <c r="S73" s="31">
        <v>1.192321156310403</v>
      </c>
      <c r="T73" s="31">
        <v>1.144469876974882</v>
      </c>
      <c r="U73" s="31">
        <v>1.105516180512772</v>
      </c>
      <c r="V73" s="31">
        <v>1.072464503460081</v>
      </c>
      <c r="W73" s="31">
        <v>1.0422703116242109</v>
      </c>
      <c r="X73" s="31">
        <v>1.011840100083959</v>
      </c>
      <c r="Y73" s="31">
        <v>0.9780313931894925</v>
      </c>
      <c r="Z73" s="31">
        <v>0.93765274456237346</v>
      </c>
      <c r="AA73" s="31">
        <v>0.88746373709555104</v>
      </c>
      <c r="AB73" s="31">
        <v>0.82417498295335789</v>
      </c>
      <c r="AC73" s="32">
        <v>0.7444481235715219</v>
      </c>
    </row>
    <row r="74" spans="1:29" x14ac:dyDescent="0.25">
      <c r="A74" s="30">
        <v>30</v>
      </c>
      <c r="B74" s="31">
        <v>6.0903511177930874</v>
      </c>
      <c r="C74" s="31">
        <v>5.4738425777355069</v>
      </c>
      <c r="D74" s="31">
        <v>4.9101781757519021</v>
      </c>
      <c r="E74" s="31">
        <v>4.3971749302423522</v>
      </c>
      <c r="F74" s="31">
        <v>3.9326008888783308</v>
      </c>
      <c r="G74" s="31">
        <v>3.514175128602699</v>
      </c>
      <c r="H74" s="31">
        <v>3.1395677556296979</v>
      </c>
      <c r="I74" s="31">
        <v>2.8063999054449589</v>
      </c>
      <c r="J74" s="31">
        <v>2.512243742805504</v>
      </c>
      <c r="K74" s="31">
        <v>2.2546224617397361</v>
      </c>
      <c r="L74" s="31">
        <v>2.031010285547449</v>
      </c>
      <c r="M74" s="31">
        <v>1.838832466799821</v>
      </c>
      <c r="N74" s="31">
        <v>1.675465287339422</v>
      </c>
      <c r="O74" s="31">
        <v>1.538236058280201</v>
      </c>
      <c r="P74" s="31">
        <v>1.424423120007505</v>
      </c>
      <c r="Q74" s="31">
        <v>1.331255842178056</v>
      </c>
      <c r="R74" s="31">
        <v>1.255914623719969</v>
      </c>
      <c r="S74" s="31">
        <v>1.1955308928327459</v>
      </c>
      <c r="T74" s="31">
        <v>1.1471871069872741</v>
      </c>
      <c r="U74" s="31">
        <v>1.107916752925834</v>
      </c>
      <c r="V74" s="31">
        <v>1.0747043466620889</v>
      </c>
      <c r="W74" s="31">
        <v>1.0444854334810789</v>
      </c>
      <c r="X74" s="31">
        <v>1.0141465879392479</v>
      </c>
      <c r="Y74" s="31">
        <v>0.98052541386441261</v>
      </c>
      <c r="Z74" s="31">
        <v>0.94041054435579063</v>
      </c>
      <c r="AA74" s="31">
        <v>0.89054164178397976</v>
      </c>
      <c r="AB74" s="31">
        <v>0.82760939779095388</v>
      </c>
      <c r="AC74" s="32">
        <v>0.74825553329009087</v>
      </c>
    </row>
    <row r="75" spans="1:29" x14ac:dyDescent="0.25">
      <c r="A75" s="30">
        <v>35</v>
      </c>
      <c r="B75" s="31">
        <v>6.1490982621847534</v>
      </c>
      <c r="C75" s="31">
        <v>5.5259786039407857</v>
      </c>
      <c r="D75" s="31">
        <v>4.9562214130848714</v>
      </c>
      <c r="E75" s="31">
        <v>4.43762378749474</v>
      </c>
      <c r="F75" s="31">
        <v>3.9679338543195088</v>
      </c>
      <c r="G75" s="31">
        <v>3.544850769979691</v>
      </c>
      <c r="H75" s="31">
        <v>3.1660247201671781</v>
      </c>
      <c r="I75" s="31">
        <v>2.8290569198452449</v>
      </c>
      <c r="J75" s="31">
        <v>2.5314996132485659</v>
      </c>
      <c r="K75" s="31">
        <v>2.2708560738831922</v>
      </c>
      <c r="L75" s="31">
        <v>2.0445806045265642</v>
      </c>
      <c r="M75" s="31">
        <v>1.850078537227511</v>
      </c>
      <c r="N75" s="31">
        <v>1.684706233306249</v>
      </c>
      <c r="O75" s="31">
        <v>1.5457710833543821</v>
      </c>
      <c r="P75" s="31">
        <v>1.430531507234893</v>
      </c>
      <c r="Q75" s="31">
        <v>1.336196954082165</v>
      </c>
      <c r="R75" s="31">
        <v>1.2599279023019541</v>
      </c>
      <c r="S75" s="31">
        <v>1.1988358595714159</v>
      </c>
      <c r="T75" s="31">
        <v>1.1499833628390861</v>
      </c>
      <c r="U75" s="31">
        <v>1.110383978324893</v>
      </c>
      <c r="V75" s="31">
        <v>1.0770023015201391</v>
      </c>
      <c r="W75" s="31">
        <v>1.046753957187526</v>
      </c>
      <c r="X75" s="31">
        <v>1.01650559936114</v>
      </c>
      <c r="Y75" s="31">
        <v>0.98307491134645575</v>
      </c>
      <c r="Z75" s="31">
        <v>0.94323060572032658</v>
      </c>
      <c r="AA75" s="31">
        <v>0.89369242433100027</v>
      </c>
      <c r="AB75" s="31">
        <v>0.83113113829810537</v>
      </c>
      <c r="AC75" s="32">
        <v>0.7521685480126753</v>
      </c>
    </row>
    <row r="76" spans="1:29" x14ac:dyDescent="0.25">
      <c r="A76" s="30">
        <v>40</v>
      </c>
      <c r="B76" s="31">
        <v>6.2088105423639171</v>
      </c>
      <c r="C76" s="31">
        <v>5.5789982367480704</v>
      </c>
      <c r="D76" s="31">
        <v>5.0030705593578348</v>
      </c>
      <c r="E76" s="31">
        <v>4.478804687548597</v>
      </c>
      <c r="F76" s="31">
        <v>4.003928827947119</v>
      </c>
      <c r="G76" s="31">
        <v>3.5761222164515618</v>
      </c>
      <c r="H76" s="31">
        <v>3.1930151182314619</v>
      </c>
      <c r="I76" s="31">
        <v>2.852188827727753</v>
      </c>
      <c r="J76" s="31">
        <v>2.5511756686527498</v>
      </c>
      <c r="K76" s="31">
        <v>2.2874589939901528</v>
      </c>
      <c r="L76" s="31">
        <v>2.0584731859950551</v>
      </c>
      <c r="M76" s="31">
        <v>1.861603656193934</v>
      </c>
      <c r="N76" s="31">
        <v>1.6941868453846489</v>
      </c>
      <c r="O76" s="31">
        <v>1.5535102236364531</v>
      </c>
      <c r="P76" s="31">
        <v>1.436812290289988</v>
      </c>
      <c r="Q76" s="31">
        <v>1.341282573957272</v>
      </c>
      <c r="R76" s="31">
        <v>1.2640616325217211</v>
      </c>
      <c r="S76" s="31">
        <v>1.202241053138132</v>
      </c>
      <c r="T76" s="31">
        <v>1.152863452232693</v>
      </c>
      <c r="U76" s="31">
        <v>1.1129224755029761</v>
      </c>
      <c r="V76" s="31">
        <v>1.0793627979179401</v>
      </c>
      <c r="W76" s="31">
        <v>1.0490801237179279</v>
      </c>
      <c r="X76" s="31">
        <v>1.018921186414683</v>
      </c>
      <c r="Y76" s="31">
        <v>0.98568374879131471</v>
      </c>
      <c r="Z76" s="31">
        <v>0.9461166029023359</v>
      </c>
      <c r="AA76" s="31">
        <v>0.89691957007364065</v>
      </c>
      <c r="AB76" s="31">
        <v>0.83474350090251137</v>
      </c>
      <c r="AC76" s="32">
        <v>0.75619027525761873</v>
      </c>
    </row>
    <row r="77" spans="1:29" x14ac:dyDescent="0.25">
      <c r="A77" s="30">
        <v>45</v>
      </c>
      <c r="B77" s="31">
        <v>6.2694958664645233</v>
      </c>
      <c r="C77" s="31">
        <v>5.6329091953819654</v>
      </c>
      <c r="D77" s="31">
        <v>5.050733144886066</v>
      </c>
      <c r="E77" s="31">
        <v>4.520724971809857</v>
      </c>
      <c r="F77" s="31">
        <v>4.0405929622577563</v>
      </c>
      <c r="G77" s="31">
        <v>3.607996431605565</v>
      </c>
      <c r="H77" s="31">
        <v>3.2205457245004792</v>
      </c>
      <c r="I77" s="31">
        <v>2.87580221486107</v>
      </c>
      <c r="J77" s="31">
        <v>2.5712783058773039</v>
      </c>
      <c r="K77" s="31">
        <v>2.3044374300105361</v>
      </c>
      <c r="L77" s="31">
        <v>2.0726940489935002</v>
      </c>
      <c r="M77" s="31">
        <v>1.873413653830325</v>
      </c>
      <c r="N77" s="31">
        <v>1.7039127647965231</v>
      </c>
      <c r="O77" s="31">
        <v>1.5614589314389899</v>
      </c>
      <c r="P77" s="31">
        <v>1.443270732576017</v>
      </c>
      <c r="Q77" s="31">
        <v>1.346517776297274</v>
      </c>
      <c r="R77" s="31">
        <v>1.2683206999638259</v>
      </c>
      <c r="S77" s="31">
        <v>1.205751170208113</v>
      </c>
      <c r="T77" s="31">
        <v>1.1558318829339791</v>
      </c>
      <c r="U77" s="31">
        <v>1.115536563316639</v>
      </c>
      <c r="V77" s="31">
        <v>1.081789965802701</v>
      </c>
      <c r="W77" s="31">
        <v>1.051467874110164</v>
      </c>
      <c r="X77" s="31">
        <v>1.021397101228406</v>
      </c>
      <c r="Y77" s="31">
        <v>0.98835548941819484</v>
      </c>
      <c r="Z77" s="31">
        <v>0.94907191021168902</v>
      </c>
      <c r="AA77" s="31">
        <v>0.90022626441243692</v>
      </c>
      <c r="AB77" s="31">
        <v>0.83844948209535919</v>
      </c>
      <c r="AC77" s="32">
        <v>0.76032352260678326</v>
      </c>
    </row>
    <row r="78" spans="1:29" x14ac:dyDescent="0.25">
      <c r="A78" s="30">
        <v>50</v>
      </c>
      <c r="B78" s="31">
        <v>6.3311618426840273</v>
      </c>
      <c r="C78" s="31">
        <v>5.6877188991305916</v>
      </c>
      <c r="D78" s="31">
        <v>5.0992164000483449</v>
      </c>
      <c r="E78" s="31">
        <v>4.5633916817479721</v>
      </c>
      <c r="F78" s="31">
        <v>4.0779331098115348</v>
      </c>
      <c r="G78" s="31">
        <v>3.6404800790924852</v>
      </c>
      <c r="H78" s="31">
        <v>3.2486230137156649</v>
      </c>
      <c r="I78" s="31">
        <v>2.8999033670772989</v>
      </c>
      <c r="J78" s="31">
        <v>2.5918136218450019</v>
      </c>
      <c r="K78" s="31">
        <v>2.3217972899577699</v>
      </c>
      <c r="L78" s="31">
        <v>2.0872489126259981</v>
      </c>
      <c r="M78" s="31">
        <v>1.885514060331452</v>
      </c>
      <c r="N78" s="31">
        <v>1.7138893328272979</v>
      </c>
      <c r="O78" s="31">
        <v>1.569622359138082</v>
      </c>
      <c r="P78" s="31">
        <v>1.4499117975597391</v>
      </c>
      <c r="Q78" s="31">
        <v>1.3519073356595941</v>
      </c>
      <c r="R78" s="31">
        <v>1.2727096902763519</v>
      </c>
      <c r="S78" s="31">
        <v>1.2093706075201089</v>
      </c>
      <c r="T78" s="31">
        <v>1.1588928627723529</v>
      </c>
      <c r="U78" s="31">
        <v>1.118230260685952</v>
      </c>
      <c r="V78" s="31">
        <v>1.08428763518516</v>
      </c>
      <c r="W78" s="31">
        <v>1.053920849465626</v>
      </c>
      <c r="X78" s="31">
        <v>1.023936795994373</v>
      </c>
      <c r="Y78" s="31">
        <v>0.99109339650982275</v>
      </c>
      <c r="Z78" s="31">
        <v>0.95209960202178034</v>
      </c>
      <c r="AA78" s="31">
        <v>0.90361539281144232</v>
      </c>
      <c r="AB78" s="31">
        <v>0.84225177843137466</v>
      </c>
      <c r="AC78" s="32">
        <v>0.76457079770556025</v>
      </c>
    </row>
    <row r="79" spans="1:29" x14ac:dyDescent="0.25">
      <c r="A79" s="30">
        <v>55</v>
      </c>
      <c r="B79" s="31">
        <v>6.3938157792834129</v>
      </c>
      <c r="C79" s="31">
        <v>5.7434344673455922</v>
      </c>
      <c r="D79" s="31">
        <v>5.1485272552869796</v>
      </c>
      <c r="E79" s="31">
        <v>4.6068115588959051</v>
      </c>
      <c r="F79" s="31">
        <v>4.1159558232320848</v>
      </c>
      <c r="G79" s="31">
        <v>3.6735795226266119</v>
      </c>
      <c r="H79" s="31">
        <v>3.277253160681981</v>
      </c>
      <c r="I79" s="31">
        <v>2.924498270272065</v>
      </c>
      <c r="J79" s="31">
        <v>2.612787413542125</v>
      </c>
      <c r="K79" s="31">
        <v>2.3395441819088099</v>
      </c>
      <c r="L79" s="31">
        <v>2.102143196060156</v>
      </c>
      <c r="M79" s="31">
        <v>1.897910105955585</v>
      </c>
      <c r="N79" s="31">
        <v>1.724121590825912</v>
      </c>
      <c r="O79" s="31">
        <v>1.578005359173327</v>
      </c>
      <c r="P79" s="31">
        <v>1.456740148771416</v>
      </c>
      <c r="Q79" s="31">
        <v>1.357455726665153</v>
      </c>
      <c r="R79" s="31">
        <v>1.2772328891708911</v>
      </c>
      <c r="S79" s="31">
        <v>1.2131034618763721</v>
      </c>
      <c r="T79" s="31">
        <v>1.1620502996407369</v>
      </c>
      <c r="U79" s="31">
        <v>1.1210072865945011</v>
      </c>
      <c r="V79" s="31">
        <v>1.0868593361395651</v>
      </c>
      <c r="W79" s="31">
        <v>1.0564423909492251</v>
      </c>
      <c r="X79" s="31">
        <v>1.0265434229681609</v>
      </c>
      <c r="Y79" s="31">
        <v>0.99390043341243783</v>
      </c>
      <c r="Z79" s="31">
        <v>0.95520245276950544</v>
      </c>
      <c r="AA79" s="31">
        <v>0.90708954079821669</v>
      </c>
      <c r="AB79" s="31">
        <v>0.84615278652878656</v>
      </c>
      <c r="AC79" s="32">
        <v>0.7689343082628346</v>
      </c>
    </row>
    <row r="80" spans="1:29" x14ac:dyDescent="0.25">
      <c r="A80" s="30">
        <v>60</v>
      </c>
      <c r="B80" s="31">
        <v>6.4574646845871619</v>
      </c>
      <c r="C80" s="31">
        <v>5.8000627194421162</v>
      </c>
      <c r="D80" s="31">
        <v>5.1986723411077866</v>
      </c>
      <c r="E80" s="31">
        <v>4.6509910448501399</v>
      </c>
      <c r="F80" s="31">
        <v>4.1546673552065476</v>
      </c>
      <c r="G80" s="31">
        <v>3.7073008259857541</v>
      </c>
      <c r="H80" s="31">
        <v>3.3064420402678958</v>
      </c>
      <c r="I80" s="31">
        <v>2.9495926104044972</v>
      </c>
      <c r="J80" s="31">
        <v>2.634205178018469</v>
      </c>
      <c r="K80" s="31">
        <v>2.3576834140041072</v>
      </c>
      <c r="L80" s="31">
        <v>2.1173820185271008</v>
      </c>
      <c r="M80" s="31">
        <v>1.910606721024517</v>
      </c>
      <c r="N80" s="31">
        <v>1.734614280204817</v>
      </c>
      <c r="O80" s="31">
        <v>1.5866124840478431</v>
      </c>
      <c r="P80" s="31">
        <v>1.463760149804828</v>
      </c>
      <c r="Q80" s="31">
        <v>1.3631671239983949</v>
      </c>
      <c r="R80" s="31">
        <v>1.281894282422545</v>
      </c>
      <c r="S80" s="31">
        <v>1.216953530142675</v>
      </c>
      <c r="T80" s="31">
        <v>1.165307801495566</v>
      </c>
      <c r="U80" s="31">
        <v>1.12387106008938</v>
      </c>
      <c r="V80" s="31">
        <v>1.0895082988036731</v>
      </c>
      <c r="W80" s="31">
        <v>1.0590355397893949</v>
      </c>
      <c r="X80" s="31">
        <v>1.029219834468859</v>
      </c>
      <c r="Y80" s="31">
        <v>0.99677926353579027</v>
      </c>
      <c r="Z80" s="31">
        <v>0.95838293695528665</v>
      </c>
      <c r="AA80" s="31">
        <v>0.91065099396384508</v>
      </c>
      <c r="AB80" s="31">
        <v>0.85015460306932689</v>
      </c>
      <c r="AC80" s="32">
        <v>0.77341596205100682</v>
      </c>
    </row>
    <row r="81" spans="1:29" x14ac:dyDescent="0.25">
      <c r="A81" s="30">
        <v>65</v>
      </c>
      <c r="B81" s="31">
        <v>6.5221152669832883</v>
      </c>
      <c r="C81" s="31">
        <v>5.8576101748988441</v>
      </c>
      <c r="D81" s="31">
        <v>5.2496579880801004</v>
      </c>
      <c r="E81" s="31">
        <v>4.6959362812706811</v>
      </c>
      <c r="F81" s="31">
        <v>4.1940736584855918</v>
      </c>
      <c r="G81" s="31">
        <v>3.741649753011238</v>
      </c>
      <c r="H81" s="31">
        <v>3.3361952274054021</v>
      </c>
      <c r="I81" s="31">
        <v>2.9751917734972571</v>
      </c>
      <c r="J81" s="31">
        <v>2.656072112387359</v>
      </c>
      <c r="K81" s="31">
        <v>2.3762199944476561</v>
      </c>
      <c r="L81" s="31">
        <v>2.1329701993214831</v>
      </c>
      <c r="M81" s="31">
        <v>1.923608535923558</v>
      </c>
      <c r="N81" s="31">
        <v>1.7453718424399911</v>
      </c>
      <c r="O81" s="31">
        <v>1.59544798632827</v>
      </c>
      <c r="P81" s="31">
        <v>1.470975864317281</v>
      </c>
      <c r="Q81" s="31">
        <v>1.36904540240729</v>
      </c>
      <c r="R81" s="31">
        <v>1.2866975558699529</v>
      </c>
      <c r="S81" s="31">
        <v>1.220924309248306</v>
      </c>
      <c r="T81" s="31">
        <v>1.1686686763567879</v>
      </c>
      <c r="U81" s="31">
        <v>1.1268247002812111</v>
      </c>
      <c r="V81" s="31">
        <v>1.0922374533787751</v>
      </c>
      <c r="W81" s="31">
        <v>1.0617030372780709</v>
      </c>
      <c r="X81" s="31">
        <v>1.0319685828790759</v>
      </c>
      <c r="Y81" s="31">
        <v>0.99973225035315605</v>
      </c>
      <c r="Z81" s="31">
        <v>0.96164322914306055</v>
      </c>
      <c r="AA81" s="31">
        <v>0.91430173796291969</v>
      </c>
      <c r="AB81" s="31">
        <v>0.85425902479826832</v>
      </c>
      <c r="AC81" s="32">
        <v>0.77801736690601442</v>
      </c>
    </row>
    <row r="82" spans="1:29" x14ac:dyDescent="0.25">
      <c r="A82" s="30">
        <v>70</v>
      </c>
      <c r="B82" s="31">
        <v>6.5877739349233053</v>
      </c>
      <c r="C82" s="31">
        <v>5.9160830532579496</v>
      </c>
      <c r="D82" s="31">
        <v>5.3014902268367647</v>
      </c>
      <c r="E82" s="31">
        <v>4.741653109881022</v>
      </c>
      <c r="F82" s="31">
        <v>4.234180385883386</v>
      </c>
      <c r="G82" s="31">
        <v>3.7766317676079</v>
      </c>
      <c r="H82" s="31">
        <v>3.366517997089999</v>
      </c>
      <c r="I82" s="31">
        <v>3.0013008456365009</v>
      </c>
      <c r="J82" s="31">
        <v>2.6783931138256181</v>
      </c>
      <c r="K82" s="31">
        <v>2.3951586315069391</v>
      </c>
      <c r="L82" s="31">
        <v>2.148912257801451</v>
      </c>
      <c r="M82" s="31">
        <v>1.9369198811015229</v>
      </c>
      <c r="N82" s="31">
        <v>1.7563984190709081</v>
      </c>
      <c r="O82" s="31">
        <v>1.6045158186447479</v>
      </c>
      <c r="P82" s="31">
        <v>1.478391056029575</v>
      </c>
      <c r="Q82" s="31">
        <v>1.3750941367033009</v>
      </c>
      <c r="R82" s="31">
        <v>1.291646095415236</v>
      </c>
      <c r="S82" s="31">
        <v>1.2250189961860689</v>
      </c>
      <c r="T82" s="31">
        <v>1.1721359323078719</v>
      </c>
      <c r="U82" s="31">
        <v>1.129871026344121</v>
      </c>
      <c r="V82" s="31">
        <v>1.0950494301296521</v>
      </c>
      <c r="W82" s="31">
        <v>1.064447324770714</v>
      </c>
      <c r="X82" s="31">
        <v>1.0347919206449321</v>
      </c>
      <c r="Y82" s="31">
        <v>1.0027614574013139</v>
      </c>
      <c r="Z82" s="31">
        <v>0.96498520396025855</v>
      </c>
      <c r="AA82" s="31">
        <v>0.91804345851356395</v>
      </c>
      <c r="AB82" s="31">
        <v>0.85846754852438345</v>
      </c>
      <c r="AC82" s="32">
        <v>0.78273983072728814</v>
      </c>
    </row>
    <row r="83" spans="1:29" x14ac:dyDescent="0.25">
      <c r="A83" s="30">
        <v>75</v>
      </c>
      <c r="B83" s="31">
        <v>6.6544467969222572</v>
      </c>
      <c r="C83" s="31">
        <v>5.9754872741251406</v>
      </c>
      <c r="D83" s="31">
        <v>5.3541747880741548</v>
      </c>
      <c r="E83" s="31">
        <v>4.7881470724682176</v>
      </c>
      <c r="F83" s="31">
        <v>4.2749928902776357</v>
      </c>
      <c r="G83" s="31">
        <v>3.8122520337441048</v>
      </c>
      <c r="H83" s="31">
        <v>3.397415324380713</v>
      </c>
      <c r="I83" s="31">
        <v>3.0279246129719248</v>
      </c>
      <c r="J83" s="31">
        <v>2.7011727795736</v>
      </c>
      <c r="K83" s="31">
        <v>2.414503733512976</v>
      </c>
      <c r="L83" s="31">
        <v>2.1652124133886899</v>
      </c>
      <c r="M83" s="31">
        <v>1.9505447870707571</v>
      </c>
      <c r="N83" s="31">
        <v>1.767697851700583</v>
      </c>
      <c r="O83" s="31">
        <v>1.6138196336909529</v>
      </c>
      <c r="P83" s="31">
        <v>1.48600918872605</v>
      </c>
      <c r="Q83" s="31">
        <v>1.381316601761442</v>
      </c>
      <c r="R83" s="31">
        <v>1.296742987024075</v>
      </c>
      <c r="S83" s="31">
        <v>1.229240488012288</v>
      </c>
      <c r="T83" s="31">
        <v>1.1757122774958151</v>
      </c>
      <c r="U83" s="31">
        <v>1.1330125575157639</v>
      </c>
      <c r="V83" s="31">
        <v>1.0979465593846289</v>
      </c>
      <c r="W83" s="31">
        <v>1.0672705436863099</v>
      </c>
      <c r="X83" s="31">
        <v>1.0376918002760669</v>
      </c>
      <c r="Y83" s="31">
        <v>1.0058686482805761</v>
      </c>
      <c r="Z83" s="31">
        <v>0.96841043609787625</v>
      </c>
      <c r="AA83" s="31">
        <v>0.92187754139740019</v>
      </c>
      <c r="AB83" s="31">
        <v>0.86278137111997466</v>
      </c>
      <c r="AC83" s="32">
        <v>0.78758436147780386</v>
      </c>
    </row>
    <row r="84" spans="1:29" x14ac:dyDescent="0.25">
      <c r="A84" s="33">
        <v>80</v>
      </c>
      <c r="B84" s="34">
        <v>6.7221396615587059</v>
      </c>
      <c r="C84" s="34">
        <v>6.0358284571696403</v>
      </c>
      <c r="D84" s="34">
        <v>5.407717102552148</v>
      </c>
      <c r="E84" s="34">
        <v>4.8354234108827931</v>
      </c>
      <c r="F84" s="34">
        <v>4.3165162246095363</v>
      </c>
      <c r="G84" s="34">
        <v>3.8485154154517178</v>
      </c>
      <c r="H84" s="34">
        <v>3.428891884400076</v>
      </c>
      <c r="I84" s="34">
        <v>3.0550675617167209</v>
      </c>
      <c r="J84" s="34">
        <v>2.724415406935162</v>
      </c>
      <c r="K84" s="34">
        <v>2.4342594088602909</v>
      </c>
      <c r="L84" s="34">
        <v>2.1818745855683832</v>
      </c>
      <c r="M84" s="34">
        <v>1.964486984407112</v>
      </c>
      <c r="N84" s="34">
        <v>1.7792736819955239</v>
      </c>
      <c r="O84" s="34">
        <v>1.623362784224061</v>
      </c>
      <c r="P84" s="34">
        <v>1.493833426254547</v>
      </c>
      <c r="Q84" s="34">
        <v>1.3877157725202021</v>
      </c>
      <c r="R84" s="34">
        <v>1.301991016725623</v>
      </c>
      <c r="S84" s="34">
        <v>1.2335913818467941</v>
      </c>
      <c r="T84" s="34">
        <v>1.1794001201310971</v>
      </c>
      <c r="U84" s="34">
        <v>1.136251513097295</v>
      </c>
      <c r="V84" s="34">
        <v>1.1009308715355239</v>
      </c>
      <c r="W84" s="34">
        <v>1.0701745355073351</v>
      </c>
      <c r="X84" s="34">
        <v>1.0406698743456411</v>
      </c>
      <c r="Y84" s="34">
        <v>1.009055286654756</v>
      </c>
      <c r="Z84" s="34">
        <v>0.97192020031037485</v>
      </c>
      <c r="AA84" s="34">
        <v>0.92580507245957677</v>
      </c>
      <c r="AB84" s="34">
        <v>0.86720138952083581</v>
      </c>
      <c r="AC84" s="35">
        <v>0.79255166718401515</v>
      </c>
    </row>
    <row r="87" spans="1:29" ht="28.9" customHeight="1" x14ac:dyDescent="0.5">
      <c r="A87" s="1" t="s">
        <v>31</v>
      </c>
    </row>
    <row r="88" spans="1:29" ht="32.1" customHeight="1" x14ac:dyDescent="0.25"/>
    <row r="89" spans="1:29" x14ac:dyDescent="0.25">
      <c r="A89" s="2"/>
      <c r="B89" s="3"/>
      <c r="C89" s="3"/>
      <c r="D89" s="4"/>
    </row>
    <row r="90" spans="1:29" x14ac:dyDescent="0.25">
      <c r="A90" s="5" t="s">
        <v>32</v>
      </c>
      <c r="B90" s="6">
        <v>4.0129999999999999</v>
      </c>
      <c r="C90" s="6" t="s">
        <v>12</v>
      </c>
      <c r="D90" s="7"/>
    </row>
    <row r="91" spans="1:29" x14ac:dyDescent="0.25">
      <c r="A91" s="8"/>
      <c r="B91" s="9"/>
      <c r="C91" s="9"/>
      <c r="D91" s="10"/>
    </row>
    <row r="94" spans="1:29" ht="48" customHeight="1" x14ac:dyDescent="0.25">
      <c r="A94" s="21" t="s">
        <v>33</v>
      </c>
      <c r="B94" s="23" t="s">
        <v>34</v>
      </c>
    </row>
    <row r="95" spans="1:29" x14ac:dyDescent="0.25">
      <c r="A95" s="5">
        <v>0</v>
      </c>
      <c r="B95" s="32">
        <v>0.14999999999999991</v>
      </c>
    </row>
    <row r="96" spans="1:29" x14ac:dyDescent="0.25">
      <c r="A96" s="5">
        <v>6.0999999999999999E-2</v>
      </c>
      <c r="B96" s="32">
        <v>0.17335366666666679</v>
      </c>
    </row>
    <row r="97" spans="1:2" x14ac:dyDescent="0.25">
      <c r="A97" s="5">
        <v>0.122</v>
      </c>
      <c r="B97" s="32">
        <v>0.1487652500000004</v>
      </c>
    </row>
    <row r="98" spans="1:2" x14ac:dyDescent="0.25">
      <c r="A98" s="5">
        <v>0.182</v>
      </c>
      <c r="B98" s="32">
        <v>0.1159386571428573</v>
      </c>
    </row>
    <row r="99" spans="1:2" x14ac:dyDescent="0.25">
      <c r="A99" s="5">
        <v>0.24299999999999999</v>
      </c>
      <c r="B99" s="32">
        <v>7.2770250000000106E-2</v>
      </c>
    </row>
    <row r="100" spans="1:2" x14ac:dyDescent="0.25">
      <c r="A100" s="5">
        <v>0.30399999999999999</v>
      </c>
      <c r="B100" s="32">
        <v>2.672376470588236E-2</v>
      </c>
    </row>
    <row r="101" spans="1:2" x14ac:dyDescent="0.25">
      <c r="A101" s="5">
        <v>0.36499999999999999</v>
      </c>
      <c r="B101" s="32">
        <v>-2.3507941176470482E-2</v>
      </c>
    </row>
    <row r="102" spans="1:2" x14ac:dyDescent="0.25">
      <c r="A102" s="5">
        <v>0.42599999999999999</v>
      </c>
      <c r="B102" s="32">
        <v>1.9685200000000111E-2</v>
      </c>
    </row>
    <row r="103" spans="1:2" x14ac:dyDescent="0.25">
      <c r="A103" s="5">
        <v>0.48599999999999999</v>
      </c>
      <c r="B103" s="32">
        <v>-6.2523333333331706E-3</v>
      </c>
    </row>
    <row r="104" spans="1:2" x14ac:dyDescent="0.25">
      <c r="A104" s="5">
        <v>0.54700000000000004</v>
      </c>
      <c r="B104" s="32">
        <v>1.9229429702970299E-2</v>
      </c>
    </row>
    <row r="105" spans="1:2" x14ac:dyDescent="0.25">
      <c r="A105" s="5">
        <v>0.60799999999999998</v>
      </c>
      <c r="B105" s="32">
        <v>1.1153996039604191E-2</v>
      </c>
    </row>
    <row r="106" spans="1:2" x14ac:dyDescent="0.25">
      <c r="A106" s="5">
        <v>0.66900000000000004</v>
      </c>
      <c r="B106" s="32">
        <v>3.078562376237581E-3</v>
      </c>
    </row>
    <row r="107" spans="1:2" x14ac:dyDescent="0.25">
      <c r="A107" s="5">
        <v>0.73</v>
      </c>
      <c r="B107" s="32">
        <v>-4.996871287128668E-3</v>
      </c>
    </row>
    <row r="108" spans="1:2" x14ac:dyDescent="0.25">
      <c r="A108" s="5">
        <v>0.79</v>
      </c>
      <c r="B108" s="32">
        <v>-1.2939920792079279E-2</v>
      </c>
    </row>
    <row r="109" spans="1:2" x14ac:dyDescent="0.25">
      <c r="A109" s="5">
        <v>0.85099999999999998</v>
      </c>
      <c r="B109" s="32">
        <v>-2.1015354455445619E-2</v>
      </c>
    </row>
    <row r="110" spans="1:2" x14ac:dyDescent="0.25">
      <c r="A110" s="5">
        <v>0.91200000000000003</v>
      </c>
      <c r="B110" s="32">
        <v>-2.9090788118811849E-2</v>
      </c>
    </row>
    <row r="111" spans="1:2" x14ac:dyDescent="0.25">
      <c r="A111" s="5">
        <v>0.97299999999999998</v>
      </c>
      <c r="B111" s="32">
        <v>-3.716622178217819E-2</v>
      </c>
    </row>
    <row r="112" spans="1:2" x14ac:dyDescent="0.25">
      <c r="A112" s="5">
        <v>1.034</v>
      </c>
      <c r="B112" s="32">
        <v>-4.5241655445544503E-2</v>
      </c>
    </row>
    <row r="113" spans="1:2" x14ac:dyDescent="0.25">
      <c r="A113" s="5">
        <v>1.0940000000000001</v>
      </c>
      <c r="B113" s="32">
        <v>-4.357734513274325E-2</v>
      </c>
    </row>
    <row r="114" spans="1:2" x14ac:dyDescent="0.25">
      <c r="A114" s="5">
        <v>1.155</v>
      </c>
      <c r="B114" s="32">
        <v>-3.977699115044242E-2</v>
      </c>
    </row>
    <row r="115" spans="1:2" x14ac:dyDescent="0.25">
      <c r="A115" s="5">
        <v>1.216</v>
      </c>
      <c r="B115" s="32">
        <v>-3.5976637168141333E-2</v>
      </c>
    </row>
    <row r="116" spans="1:2" x14ac:dyDescent="0.25">
      <c r="A116" s="5">
        <v>1.2769999999999999</v>
      </c>
      <c r="B116" s="32">
        <v>-3.3387241379310269E-2</v>
      </c>
    </row>
    <row r="117" spans="1:2" x14ac:dyDescent="0.25">
      <c r="A117" s="5">
        <v>1.3380000000000001</v>
      </c>
      <c r="B117" s="32">
        <v>-3.1262758620689501E-2</v>
      </c>
    </row>
    <row r="118" spans="1:2" x14ac:dyDescent="0.25">
      <c r="A118" s="5">
        <v>1.3979999999999999</v>
      </c>
      <c r="B118" s="32">
        <v>-2.9173103448275711E-2</v>
      </c>
    </row>
    <row r="119" spans="1:2" x14ac:dyDescent="0.25">
      <c r="A119" s="5">
        <v>1.4590000000000001</v>
      </c>
      <c r="B119" s="32">
        <v>-2.7048620689655078E-2</v>
      </c>
    </row>
    <row r="120" spans="1:2" x14ac:dyDescent="0.25">
      <c r="A120" s="5">
        <v>1.52</v>
      </c>
      <c r="B120" s="32">
        <v>-2.4924137931034759E-2</v>
      </c>
    </row>
    <row r="121" spans="1:2" x14ac:dyDescent="0.25">
      <c r="A121" s="5">
        <v>1.581</v>
      </c>
      <c r="B121" s="32">
        <v>-2.3820000000000022E-2</v>
      </c>
    </row>
    <row r="122" spans="1:2" x14ac:dyDescent="0.25">
      <c r="A122" s="5">
        <v>1.6419999999999999</v>
      </c>
      <c r="B122" s="32">
        <v>-2.276542372881343E-2</v>
      </c>
    </row>
    <row r="123" spans="1:2" x14ac:dyDescent="0.25">
      <c r="A123" s="5">
        <v>1.702</v>
      </c>
      <c r="B123" s="32">
        <v>-2.1728135593220309E-2</v>
      </c>
    </row>
    <row r="124" spans="1:2" x14ac:dyDescent="0.25">
      <c r="A124" s="5">
        <v>1.7629999999999999</v>
      </c>
      <c r="B124" s="32">
        <v>-2.067355932203372E-2</v>
      </c>
    </row>
    <row r="125" spans="1:2" x14ac:dyDescent="0.25">
      <c r="A125" s="5">
        <v>1.8240000000000001</v>
      </c>
      <c r="B125" s="32">
        <v>-1.9618983050847309E-2</v>
      </c>
    </row>
    <row r="126" spans="1:2" x14ac:dyDescent="0.25">
      <c r="A126" s="5">
        <v>1.885</v>
      </c>
      <c r="B126" s="32">
        <v>-1.8564406779661209E-2</v>
      </c>
    </row>
    <row r="127" spans="1:2" x14ac:dyDescent="0.25">
      <c r="A127" s="5">
        <v>1.946</v>
      </c>
      <c r="B127" s="32">
        <v>-1.750983050847443E-2</v>
      </c>
    </row>
    <row r="128" spans="1:2" x14ac:dyDescent="0.25">
      <c r="A128" s="5">
        <v>2.0059999999999998</v>
      </c>
      <c r="B128" s="32">
        <v>-1.647254237288141E-2</v>
      </c>
    </row>
    <row r="129" spans="1:2" x14ac:dyDescent="0.25">
      <c r="A129" s="5">
        <v>2.0670000000000002</v>
      </c>
      <c r="B129" s="32">
        <v>-1.5778787878787701E-2</v>
      </c>
    </row>
    <row r="130" spans="1:2" x14ac:dyDescent="0.25">
      <c r="A130" s="5">
        <v>2.1280000000000001</v>
      </c>
      <c r="B130" s="32">
        <v>-1.5142087542087479E-2</v>
      </c>
    </row>
    <row r="131" spans="1:2" x14ac:dyDescent="0.25">
      <c r="A131" s="5">
        <v>2.1890000000000001</v>
      </c>
      <c r="B131" s="32">
        <v>-1.450538720538725E-2</v>
      </c>
    </row>
    <row r="132" spans="1:2" x14ac:dyDescent="0.25">
      <c r="A132" s="5">
        <v>2.25</v>
      </c>
      <c r="B132" s="32">
        <v>-1.386868686868703E-2</v>
      </c>
    </row>
    <row r="133" spans="1:2" x14ac:dyDescent="0.25">
      <c r="A133" s="5">
        <v>2.31</v>
      </c>
      <c r="B133" s="32">
        <v>-1.3242424242424059E-2</v>
      </c>
    </row>
    <row r="134" spans="1:2" x14ac:dyDescent="0.25">
      <c r="A134" s="5">
        <v>2.371</v>
      </c>
      <c r="B134" s="32">
        <v>-1.260572390572379E-2</v>
      </c>
    </row>
    <row r="135" spans="1:2" x14ac:dyDescent="0.25">
      <c r="A135" s="5">
        <v>2.4319999999999999</v>
      </c>
      <c r="B135" s="32">
        <v>-1.196902356902352E-2</v>
      </c>
    </row>
    <row r="136" spans="1:2" x14ac:dyDescent="0.25">
      <c r="A136" s="5">
        <v>2.4929999999999999</v>
      </c>
      <c r="B136" s="32">
        <v>-1.1332323232323071E-2</v>
      </c>
    </row>
    <row r="137" spans="1:2" x14ac:dyDescent="0.25">
      <c r="A137" s="5">
        <v>2.5539999999999998</v>
      </c>
      <c r="B137" s="32">
        <v>-1.069562289562272E-2</v>
      </c>
    </row>
    <row r="138" spans="1:2" x14ac:dyDescent="0.25">
      <c r="A138" s="5">
        <v>2.6139999999999999</v>
      </c>
      <c r="B138" s="32">
        <v>-1.0069360269360179E-2</v>
      </c>
    </row>
    <row r="139" spans="1:2" x14ac:dyDescent="0.25">
      <c r="A139" s="5">
        <v>2.6749999999999998</v>
      </c>
      <c r="B139" s="32">
        <v>-9.4326599326599609E-3</v>
      </c>
    </row>
    <row r="140" spans="1:2" x14ac:dyDescent="0.25">
      <c r="A140" s="5">
        <v>2.7360000000000002</v>
      </c>
      <c r="B140" s="32">
        <v>-8.7959595959592896E-3</v>
      </c>
    </row>
    <row r="141" spans="1:2" x14ac:dyDescent="0.25">
      <c r="A141" s="5">
        <v>2.7970000000000002</v>
      </c>
      <c r="B141" s="32">
        <v>-8.1592592592590659E-3</v>
      </c>
    </row>
    <row r="142" spans="1:2" x14ac:dyDescent="0.25">
      <c r="A142" s="5">
        <v>2.8580000000000001</v>
      </c>
      <c r="B142" s="32">
        <v>-7.5225589225588396E-3</v>
      </c>
    </row>
    <row r="143" spans="1:2" x14ac:dyDescent="0.25">
      <c r="A143" s="5">
        <v>2.9180000000000001</v>
      </c>
      <c r="B143" s="32">
        <v>-6.8962962962959536E-3</v>
      </c>
    </row>
    <row r="144" spans="1:2" x14ac:dyDescent="0.25">
      <c r="A144" s="5">
        <v>2.9790000000000001</v>
      </c>
      <c r="B144" s="32">
        <v>-6.2595959595956423E-3</v>
      </c>
    </row>
    <row r="145" spans="1:2" x14ac:dyDescent="0.25">
      <c r="A145" s="5">
        <v>3.04</v>
      </c>
      <c r="B145" s="32">
        <v>-5.4999999999998384E-3</v>
      </c>
    </row>
    <row r="146" spans="1:2" x14ac:dyDescent="0.25">
      <c r="A146" s="5">
        <v>3.101</v>
      </c>
      <c r="B146" s="32">
        <v>-4.6550675675677512E-3</v>
      </c>
    </row>
    <row r="147" spans="1:2" x14ac:dyDescent="0.25">
      <c r="A147" s="5">
        <v>3.1619999999999999</v>
      </c>
      <c r="B147" s="32">
        <v>-3.8101351351354858E-3</v>
      </c>
    </row>
    <row r="148" spans="1:2" x14ac:dyDescent="0.25">
      <c r="A148" s="5">
        <v>3.222</v>
      </c>
      <c r="B148" s="32">
        <v>-2.9790540540540109E-3</v>
      </c>
    </row>
    <row r="149" spans="1:2" x14ac:dyDescent="0.25">
      <c r="A149" s="5">
        <v>3.2829999999999999</v>
      </c>
      <c r="B149" s="32">
        <v>-2.1341216216216579E-3</v>
      </c>
    </row>
    <row r="150" spans="1:2" x14ac:dyDescent="0.25">
      <c r="A150" s="5">
        <v>3.3439999999999999</v>
      </c>
      <c r="B150" s="32">
        <v>-1.2891891891892121E-3</v>
      </c>
    </row>
    <row r="151" spans="1:2" x14ac:dyDescent="0.25">
      <c r="A151" s="5">
        <v>3.4049999999999998</v>
      </c>
      <c r="B151" s="32">
        <v>-4.4425675675708069E-4</v>
      </c>
    </row>
    <row r="152" spans="1:2" x14ac:dyDescent="0.25">
      <c r="A152" s="5">
        <v>3.4660000000000002</v>
      </c>
      <c r="B152" s="32">
        <v>4.0067567567594452E-4</v>
      </c>
    </row>
    <row r="153" spans="1:2" x14ac:dyDescent="0.25">
      <c r="A153" s="5">
        <v>3.5259999999999998</v>
      </c>
      <c r="B153" s="32">
        <v>1.231756756756703E-3</v>
      </c>
    </row>
    <row r="154" spans="1:2" x14ac:dyDescent="0.25">
      <c r="A154" s="5">
        <v>3.5870000000000002</v>
      </c>
      <c r="B154" s="32">
        <v>2.076689189189422E-3</v>
      </c>
    </row>
    <row r="155" spans="1:2" x14ac:dyDescent="0.25">
      <c r="A155" s="5">
        <v>3.6480000000000001</v>
      </c>
      <c r="B155" s="32">
        <v>2.9216216216215092E-3</v>
      </c>
    </row>
    <row r="156" spans="1:2" x14ac:dyDescent="0.25">
      <c r="A156" s="5">
        <v>3.7090000000000001</v>
      </c>
      <c r="B156" s="32">
        <v>3.7665540540544841E-3</v>
      </c>
    </row>
    <row r="157" spans="1:2" x14ac:dyDescent="0.25">
      <c r="A157" s="5">
        <v>3.77</v>
      </c>
      <c r="B157" s="32">
        <v>4.6114864864865712E-3</v>
      </c>
    </row>
    <row r="158" spans="1:2" x14ac:dyDescent="0.25">
      <c r="A158" s="5">
        <v>3.83</v>
      </c>
      <c r="B158" s="32">
        <v>5.4425675675673357E-3</v>
      </c>
    </row>
    <row r="159" spans="1:2" x14ac:dyDescent="0.25">
      <c r="A159" s="5">
        <v>3.891</v>
      </c>
      <c r="B159" s="32">
        <v>6.2875000000003111E-3</v>
      </c>
    </row>
    <row r="160" spans="1:2" x14ac:dyDescent="0.25">
      <c r="A160" s="5">
        <v>3.952</v>
      </c>
      <c r="B160" s="32">
        <v>7.1324324324323982E-3</v>
      </c>
    </row>
    <row r="161" spans="1:2" x14ac:dyDescent="0.25">
      <c r="A161" s="8">
        <v>4.0129999999999999</v>
      </c>
      <c r="B161" s="35">
        <v>8.3721649484531178E-3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AH127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44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6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300</v>
      </c>
      <c r="C24" s="13" t="s">
        <v>8</v>
      </c>
      <c r="D24" s="14"/>
    </row>
    <row r="25" spans="1:4" x14ac:dyDescent="0.25">
      <c r="A25" s="5" t="s">
        <v>9</v>
      </c>
      <c r="B25" s="13">
        <v>14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11</v>
      </c>
      <c r="B31" s="6">
        <v>0.18999999999999989</v>
      </c>
      <c r="C31" s="6" t="s">
        <v>12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13</v>
      </c>
    </row>
    <row r="37" spans="1:5" x14ac:dyDescent="0.25">
      <c r="A37" s="17" t="s">
        <v>14</v>
      </c>
      <c r="B37" s="36">
        <v>100</v>
      </c>
      <c r="C37" s="17" t="s">
        <v>15</v>
      </c>
      <c r="D37" s="17" t="s">
        <v>16</v>
      </c>
      <c r="E37" s="17"/>
    </row>
    <row r="38" spans="1:5" hidden="1" x14ac:dyDescent="0.25">
      <c r="A38" s="17" t="s">
        <v>17</v>
      </c>
      <c r="B38" s="17">
        <v>14.7</v>
      </c>
      <c r="C38" s="17"/>
      <c r="D38" s="17" t="s">
        <v>16</v>
      </c>
      <c r="E38" s="17"/>
    </row>
    <row r="39" spans="1:5" hidden="1" x14ac:dyDescent="0.25">
      <c r="A39" s="17" t="s">
        <v>18</v>
      </c>
      <c r="B39" s="17">
        <v>9.0079999999999991</v>
      </c>
      <c r="C39" s="17"/>
      <c r="D39" s="17" t="s">
        <v>16</v>
      </c>
      <c r="E39" s="17"/>
    </row>
    <row r="41" spans="1:5" ht="48" customHeight="1" x14ac:dyDescent="0.25">
      <c r="A41" s="18" t="s">
        <v>19</v>
      </c>
      <c r="B41" s="19" t="s">
        <v>20</v>
      </c>
      <c r="C41" s="19" t="s">
        <v>21</v>
      </c>
      <c r="D41" s="19" t="s">
        <v>22</v>
      </c>
      <c r="E41" s="20" t="s">
        <v>23</v>
      </c>
    </row>
    <row r="42" spans="1:5" x14ac:dyDescent="0.25">
      <c r="A42" s="5">
        <v>0</v>
      </c>
      <c r="B42" s="6">
        <v>101.14927071024179</v>
      </c>
      <c r="C42" s="6">
        <f>101.149270710241 * $B$37 / 100</f>
        <v>101.149270710241</v>
      </c>
      <c r="D42" s="6">
        <v>12.744583333333329</v>
      </c>
      <c r="E42" s="7">
        <f>12.7445833333333 * $B$37 / 100</f>
        <v>12.744583333333299</v>
      </c>
    </row>
    <row r="43" spans="1:5" x14ac:dyDescent="0.25">
      <c r="A43" s="5">
        <v>5</v>
      </c>
      <c r="B43" s="6">
        <v>101.7991366690771</v>
      </c>
      <c r="C43" s="6">
        <f>101.799136669077 * $B$37 / 100</f>
        <v>101.799136669077</v>
      </c>
      <c r="D43" s="6">
        <v>12.826465000000001</v>
      </c>
      <c r="E43" s="7">
        <f>12.8264649999999 * $B$37 / 100</f>
        <v>12.826464999999898</v>
      </c>
    </row>
    <row r="44" spans="1:5" x14ac:dyDescent="0.25">
      <c r="A44" s="5">
        <v>10</v>
      </c>
      <c r="B44" s="6">
        <v>102.44900262791229</v>
      </c>
      <c r="C44" s="6">
        <f>102.449002627912 * $B$37 / 100</f>
        <v>102.44900262791199</v>
      </c>
      <c r="D44" s="6">
        <v>12.90834666666666</v>
      </c>
      <c r="E44" s="7">
        <f>12.9083466666666 * $B$37 / 100</f>
        <v>12.908346666666597</v>
      </c>
    </row>
    <row r="45" spans="1:5" x14ac:dyDescent="0.25">
      <c r="A45" s="5">
        <v>15</v>
      </c>
      <c r="B45" s="6">
        <v>103.0988685867476</v>
      </c>
      <c r="C45" s="6">
        <f>103.098868586747 * $B$37 / 100</f>
        <v>103.09886858674699</v>
      </c>
      <c r="D45" s="6">
        <v>12.990228333333331</v>
      </c>
      <c r="E45" s="7">
        <f>12.9902283333333 * $B$37 / 100</f>
        <v>12.990228333333301</v>
      </c>
    </row>
    <row r="46" spans="1:5" x14ac:dyDescent="0.25">
      <c r="A46" s="5">
        <v>20</v>
      </c>
      <c r="B46" s="6">
        <v>103.74873454558281</v>
      </c>
      <c r="C46" s="6">
        <f>103.748734545582 * $B$37 / 100</f>
        <v>103.748734545582</v>
      </c>
      <c r="D46" s="6">
        <v>13.07211</v>
      </c>
      <c r="E46" s="7">
        <f>13.0721099999999 * $B$37 / 100</f>
        <v>13.072109999999901</v>
      </c>
    </row>
    <row r="47" spans="1:5" x14ac:dyDescent="0.25">
      <c r="A47" s="5">
        <v>25</v>
      </c>
      <c r="B47" s="6">
        <v>104.3986005044181</v>
      </c>
      <c r="C47" s="6">
        <f>104.398600504418 * $B$37 / 100</f>
        <v>104.39860050441798</v>
      </c>
      <c r="D47" s="6">
        <v>13.15399166666667</v>
      </c>
      <c r="E47" s="7">
        <f>13.1539916666666 * $B$37 / 100</f>
        <v>13.153991666666601</v>
      </c>
    </row>
    <row r="48" spans="1:5" x14ac:dyDescent="0.25">
      <c r="A48" s="5">
        <v>30</v>
      </c>
      <c r="B48" s="6">
        <v>105.04846646325331</v>
      </c>
      <c r="C48" s="6">
        <f>105.048466463253 * $B$37 / 100</f>
        <v>105.04846646325301</v>
      </c>
      <c r="D48" s="6">
        <v>13.23587333333333</v>
      </c>
      <c r="E48" s="7">
        <f>13.2358733333333 * $B$37 / 100</f>
        <v>13.2358733333333</v>
      </c>
    </row>
    <row r="49" spans="1:18" x14ac:dyDescent="0.25">
      <c r="A49" s="5">
        <v>35</v>
      </c>
      <c r="B49" s="6">
        <v>105.6983324220886</v>
      </c>
      <c r="C49" s="6">
        <f>105.698332422088 * $B$37 / 100</f>
        <v>105.698332422088</v>
      </c>
      <c r="D49" s="6">
        <v>13.317755</v>
      </c>
      <c r="E49" s="7">
        <f>13.317755 * $B$37 / 100</f>
        <v>13.317755</v>
      </c>
    </row>
    <row r="50" spans="1:18" x14ac:dyDescent="0.25">
      <c r="A50" s="5">
        <v>40</v>
      </c>
      <c r="B50" s="6">
        <v>106.3481983809238</v>
      </c>
      <c r="C50" s="6">
        <f>106.348198380923 * $B$37 / 100</f>
        <v>106.34819838092298</v>
      </c>
      <c r="D50" s="6">
        <v>13.39963666666667</v>
      </c>
      <c r="E50" s="7">
        <f>13.3996366666666 * $B$37 / 100</f>
        <v>13.3996366666666</v>
      </c>
    </row>
    <row r="51" spans="1:18" x14ac:dyDescent="0.25">
      <c r="A51" s="5">
        <v>45</v>
      </c>
      <c r="B51" s="6">
        <v>106.9980643397591</v>
      </c>
      <c r="C51" s="6">
        <f>106.998064339759 * $B$37 / 100</f>
        <v>106.998064339759</v>
      </c>
      <c r="D51" s="6">
        <v>13.48151833333333</v>
      </c>
      <c r="E51" s="7">
        <f>13.4815183333333 * $B$37 / 100</f>
        <v>13.4815183333333</v>
      </c>
    </row>
    <row r="52" spans="1:18" x14ac:dyDescent="0.25">
      <c r="A52" s="5">
        <v>50</v>
      </c>
      <c r="B52" s="6">
        <v>107.6479302985943</v>
      </c>
      <c r="C52" s="6">
        <f>107.647930298594 * $B$37 / 100</f>
        <v>107.64793029859401</v>
      </c>
      <c r="D52" s="6">
        <v>13.5634</v>
      </c>
      <c r="E52" s="7">
        <f>13.5634 * $B$37 / 100</f>
        <v>13.5634</v>
      </c>
    </row>
    <row r="53" spans="1:18" x14ac:dyDescent="0.25">
      <c r="A53" s="5">
        <v>55</v>
      </c>
      <c r="B53" s="6">
        <v>108.2977962574296</v>
      </c>
      <c r="C53" s="6">
        <f>108.297796257429 * $B$37 / 100</f>
        <v>108.297796257429</v>
      </c>
      <c r="D53" s="6">
        <v>13.645281666666669</v>
      </c>
      <c r="E53" s="7">
        <f>13.6452816666666 * $B$37 / 100</f>
        <v>13.645281666666598</v>
      </c>
    </row>
    <row r="54" spans="1:18" x14ac:dyDescent="0.25">
      <c r="A54" s="5">
        <v>60</v>
      </c>
      <c r="B54" s="6">
        <v>108.9476622162648</v>
      </c>
      <c r="C54" s="6">
        <f>108.947662216264 * $B$37 / 100</f>
        <v>108.94766221626399</v>
      </c>
      <c r="D54" s="6">
        <v>13.72716333333333</v>
      </c>
      <c r="E54" s="7">
        <f>13.7271633333333 * $B$37 / 100</f>
        <v>13.7271633333333</v>
      </c>
    </row>
    <row r="55" spans="1:18" x14ac:dyDescent="0.25">
      <c r="A55" s="5">
        <v>65</v>
      </c>
      <c r="B55" s="6">
        <v>109.59752817510009</v>
      </c>
      <c r="C55" s="6">
        <f>109.5975281751 * $B$37 / 100</f>
        <v>109.5975281751</v>
      </c>
      <c r="D55" s="6">
        <v>13.809044999999999</v>
      </c>
      <c r="E55" s="7">
        <f>13.8090449999999 * $B$37 / 100</f>
        <v>13.809044999999902</v>
      </c>
    </row>
    <row r="56" spans="1:18" x14ac:dyDescent="0.25">
      <c r="A56" s="5">
        <v>70</v>
      </c>
      <c r="B56" s="6">
        <v>110.2473941339353</v>
      </c>
      <c r="C56" s="6">
        <f>110.247394133935 * $B$37 / 100</f>
        <v>110.24739413393499</v>
      </c>
      <c r="D56" s="6">
        <v>13.890926666666671</v>
      </c>
      <c r="E56" s="7">
        <f>13.8909266666666 * $B$37 / 100</f>
        <v>13.890926666666598</v>
      </c>
    </row>
    <row r="57" spans="1:18" x14ac:dyDescent="0.25">
      <c r="A57" s="5">
        <v>75</v>
      </c>
      <c r="B57" s="6">
        <v>110.89726009277059</v>
      </c>
      <c r="C57" s="6">
        <f>110.89726009277 * $B$37 / 100</f>
        <v>110.89726009277</v>
      </c>
      <c r="D57" s="6">
        <v>13.97280833333333</v>
      </c>
      <c r="E57" s="7">
        <f>13.9728083333333 * $B$37 / 100</f>
        <v>13.972808333333298</v>
      </c>
    </row>
    <row r="58" spans="1:18" x14ac:dyDescent="0.25">
      <c r="A58" s="8">
        <v>80</v>
      </c>
      <c r="B58" s="9">
        <v>111.5471260516058</v>
      </c>
      <c r="C58" s="9">
        <f>111.547126051605 * $B$37 / 100</f>
        <v>111.54712605160501</v>
      </c>
      <c r="D58" s="9">
        <v>14.054690000000001</v>
      </c>
      <c r="E58" s="10">
        <f>14.0546899999999 * $B$37 / 100</f>
        <v>14.054689999999901</v>
      </c>
    </row>
    <row r="60" spans="1:18" ht="28.9" customHeight="1" x14ac:dyDescent="0.5">
      <c r="A60" s="1" t="s">
        <v>24</v>
      </c>
      <c r="B60" s="1"/>
    </row>
    <row r="61" spans="1:18" x14ac:dyDescent="0.25">
      <c r="A61" s="21" t="s">
        <v>25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26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27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34" ht="28.9" customHeight="1" x14ac:dyDescent="0.5">
      <c r="A65" s="1" t="s">
        <v>28</v>
      </c>
      <c r="B65" s="1"/>
    </row>
    <row r="66" spans="1:34" x14ac:dyDescent="0.25">
      <c r="A66" s="24" t="s">
        <v>29</v>
      </c>
      <c r="B66" s="25" t="s">
        <v>30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6"/>
    </row>
    <row r="67" spans="1:34" x14ac:dyDescent="0.25">
      <c r="A67" s="27" t="s">
        <v>19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8">
        <v>18</v>
      </c>
      <c r="AD67" s="28">
        <v>18.5</v>
      </c>
      <c r="AE67" s="28">
        <v>19</v>
      </c>
      <c r="AF67" s="28">
        <v>19.5</v>
      </c>
      <c r="AG67" s="28">
        <v>20</v>
      </c>
      <c r="AH67" s="29">
        <v>20.5</v>
      </c>
    </row>
    <row r="68" spans="1:34" x14ac:dyDescent="0.25">
      <c r="A68" s="30">
        <v>0</v>
      </c>
      <c r="B68" s="31">
        <v>5.75765545548271</v>
      </c>
      <c r="C68" s="31">
        <v>5.1791120905708894</v>
      </c>
      <c r="D68" s="31">
        <v>4.6503833498417659</v>
      </c>
      <c r="E68" s="31">
        <v>4.1694057748295306</v>
      </c>
      <c r="F68" s="31">
        <v>3.7340669363397621</v>
      </c>
      <c r="G68" s="31">
        <v>3.342205434449423</v>
      </c>
      <c r="H68" s="31">
        <v>2.9916108985068739</v>
      </c>
      <c r="I68" s="31">
        <v>2.6800239871318512</v>
      </c>
      <c r="J68" s="31">
        <v>2.4051363882154768</v>
      </c>
      <c r="K68" s="31">
        <v>2.1645908189202721</v>
      </c>
      <c r="L68" s="31">
        <v>1.9559810256801311</v>
      </c>
      <c r="M68" s="31">
        <v>1.7768517842003491</v>
      </c>
      <c r="N68" s="31">
        <v>1.624698899457597</v>
      </c>
      <c r="O68" s="31">
        <v>1.496969205699936</v>
      </c>
      <c r="P68" s="31">
        <v>1.391060566446817</v>
      </c>
      <c r="Q68" s="31">
        <v>1.304321874489073</v>
      </c>
      <c r="R68" s="31">
        <v>1.2340530518889281</v>
      </c>
      <c r="S68" s="31">
        <v>1.1775050499799931</v>
      </c>
      <c r="T68" s="31">
        <v>1.1318798493672619</v>
      </c>
      <c r="U68" s="31">
        <v>1.094330459927126</v>
      </c>
      <c r="V68" s="31">
        <v>1.0619609208073459</v>
      </c>
      <c r="W68" s="31">
        <v>1.031826300427082</v>
      </c>
      <c r="X68" s="31">
        <v>1.0009326964768861</v>
      </c>
      <c r="Y68" s="31">
        <v>0.96623723591867949</v>
      </c>
      <c r="Z68" s="31">
        <v>0.92464807498578416</v>
      </c>
      <c r="AA68" s="31">
        <v>0.87302439918290442</v>
      </c>
      <c r="AB68" s="31">
        <v>0.80817642328614114</v>
      </c>
      <c r="AC68" s="31">
        <v>0.72686539134296624</v>
      </c>
      <c r="AD68" s="31">
        <v>0.62580357667224584</v>
      </c>
      <c r="AE68" s="31">
        <v>0.50165428186423189</v>
      </c>
      <c r="AF68" s="31">
        <v>0.35103183878056848</v>
      </c>
      <c r="AG68" s="31">
        <v>0.1705016085542877</v>
      </c>
      <c r="AH68" s="32">
        <v>-4.3420018410207817E-2</v>
      </c>
    </row>
    <row r="69" spans="1:34" x14ac:dyDescent="0.25">
      <c r="A69" s="30">
        <v>5</v>
      </c>
      <c r="B69" s="31">
        <v>5.8107946524053169</v>
      </c>
      <c r="C69" s="31">
        <v>5.2261253773240162</v>
      </c>
      <c r="D69" s="31">
        <v>4.6917660665985794</v>
      </c>
      <c r="E69" s="31">
        <v>4.2056333412408469</v>
      </c>
      <c r="F69" s="31">
        <v>3.7655948515340421</v>
      </c>
      <c r="G69" s="31">
        <v>3.369469277032787</v>
      </c>
      <c r="H69" s="31">
        <v>3.0150263265630781</v>
      </c>
      <c r="I69" s="31">
        <v>2.6999867382223059</v>
      </c>
      <c r="J69" s="31">
        <v>2.4220222793792452</v>
      </c>
      <c r="K69" s="31">
        <v>2.1787557466740588</v>
      </c>
      <c r="L69" s="31">
        <v>1.967760966018296</v>
      </c>
      <c r="M69" s="31">
        <v>1.7865627925948939</v>
      </c>
      <c r="N69" s="31">
        <v>1.6326371108581781</v>
      </c>
      <c r="O69" s="31">
        <v>1.503410834533853</v>
      </c>
      <c r="P69" s="31">
        <v>1.3962619066190221</v>
      </c>
      <c r="Q69" s="31">
        <v>1.3085192993821659</v>
      </c>
      <c r="R69" s="31">
        <v>1.2374630143631591</v>
      </c>
      <c r="S69" s="31">
        <v>1.180324082373255</v>
      </c>
      <c r="T69" s="31">
        <v>1.134284563495104</v>
      </c>
      <c r="U69" s="31">
        <v>1.096477547082741</v>
      </c>
      <c r="V69" s="31">
        <v>1.063987151761576</v>
      </c>
      <c r="W69" s="31">
        <v>1.0338485254284191</v>
      </c>
      <c r="X69" s="31">
        <v>1.0030478452514671</v>
      </c>
      <c r="Y69" s="31">
        <v>0.96852231767029695</v>
      </c>
      <c r="Z69" s="31">
        <v>0.9271601783958725</v>
      </c>
      <c r="AA69" s="31">
        <v>0.87580069241055569</v>
      </c>
      <c r="AB69" s="31">
        <v>0.8112341539680793</v>
      </c>
      <c r="AC69" s="31">
        <v>0.7302018865935811</v>
      </c>
      <c r="AD69" s="31">
        <v>0.62939624308356601</v>
      </c>
      <c r="AE69" s="31">
        <v>0.50546060550594352</v>
      </c>
      <c r="AF69" s="31">
        <v>0.35498938519999551</v>
      </c>
      <c r="AG69" s="31">
        <v>0.1745280227764088</v>
      </c>
      <c r="AH69" s="32">
        <v>-3.9427011882759558E-2</v>
      </c>
    </row>
    <row r="70" spans="1:34" x14ac:dyDescent="0.25">
      <c r="A70" s="30">
        <v>10</v>
      </c>
      <c r="B70" s="31">
        <v>5.8648452376455928</v>
      </c>
      <c r="C70" s="31">
        <v>5.2739696566653338</v>
      </c>
      <c r="D70" s="31">
        <v>4.7339032117375934</v>
      </c>
      <c r="E70" s="31">
        <v>4.2425426033518567</v>
      </c>
      <c r="F70" s="31">
        <v>3.797735561268996</v>
      </c>
      <c r="G70" s="31">
        <v>3.3972808445212852</v>
      </c>
      <c r="H70" s="31">
        <v>3.0389282414123682</v>
      </c>
      <c r="I70" s="31">
        <v>2.7203785695172789</v>
      </c>
      <c r="J70" s="31">
        <v>2.439283675682451</v>
      </c>
      <c r="K70" s="31">
        <v>2.1932464360256851</v>
      </c>
      <c r="L70" s="31">
        <v>1.9798207559361869</v>
      </c>
      <c r="M70" s="31">
        <v>1.796511570074538</v>
      </c>
      <c r="N70" s="31">
        <v>1.640774842372716</v>
      </c>
      <c r="O70" s="31">
        <v>1.510017566034072</v>
      </c>
      <c r="P70" s="31">
        <v>1.401597763533357</v>
      </c>
      <c r="Q70" s="31">
        <v>1.312824486616704</v>
      </c>
      <c r="R70" s="31">
        <v>1.2409578163016299</v>
      </c>
      <c r="S70" s="31">
        <v>1.1832088628770401</v>
      </c>
      <c r="T70" s="31">
        <v>1.1367397659032339</v>
      </c>
      <c r="U70" s="31">
        <v>1.098663694211895</v>
      </c>
      <c r="V70" s="31">
        <v>1.0660448459060829</v>
      </c>
      <c r="W70" s="31">
        <v>1.035898448360258</v>
      </c>
      <c r="X70" s="31">
        <v>1.005190758220261</v>
      </c>
      <c r="Y70" s="31">
        <v>0.97083906140331577</v>
      </c>
      <c r="Z70" s="31">
        <v>0.92971167309804537</v>
      </c>
      <c r="AA70" s="31">
        <v>0.87862793776445103</v>
      </c>
      <c r="AB70" s="31">
        <v>0.8143582291339112</v>
      </c>
      <c r="AC70" s="31">
        <v>0.73362395020922011</v>
      </c>
      <c r="AD70" s="31">
        <v>0.63309753326453089</v>
      </c>
      <c r="AE70" s="31">
        <v>0.5094024398454009</v>
      </c>
      <c r="AF70" s="31">
        <v>0.35911316076876182</v>
      </c>
      <c r="AG70" s="31">
        <v>0.1787552161229389</v>
      </c>
      <c r="AH70" s="32">
        <v>-3.5194844732350468E-2</v>
      </c>
    </row>
    <row r="71" spans="1:34" x14ac:dyDescent="0.25">
      <c r="A71" s="30">
        <v>15</v>
      </c>
      <c r="B71" s="31">
        <v>5.9198169189563838</v>
      </c>
      <c r="C71" s="31">
        <v>5.3226544474383566</v>
      </c>
      <c r="D71" s="31">
        <v>4.7768041151929799</v>
      </c>
      <c r="E71" s="31">
        <v>4.280142702187395</v>
      </c>
      <c r="F71" s="31">
        <v>3.830498017660124</v>
      </c>
      <c r="G71" s="31">
        <v>3.4256489001210828</v>
      </c>
      <c r="H71" s="31">
        <v>3.0633252173515659</v>
      </c>
      <c r="I71" s="31">
        <v>2.7412078664042618</v>
      </c>
      <c r="J71" s="31">
        <v>2.4569287736032441</v>
      </c>
      <c r="K71" s="31">
        <v>2.2080708945439702</v>
      </c>
      <c r="L71" s="31">
        <v>1.9921682140932879</v>
      </c>
      <c r="M71" s="31">
        <v>1.8067057463894309</v>
      </c>
      <c r="N71" s="31">
        <v>1.649119534842022</v>
      </c>
      <c r="O71" s="31">
        <v>1.5167966521320639</v>
      </c>
      <c r="P71" s="31">
        <v>1.4070752002119571</v>
      </c>
      <c r="Q71" s="31">
        <v>1.3172443103054789</v>
      </c>
      <c r="R71" s="31">
        <v>1.244544142907801</v>
      </c>
      <c r="S71" s="31">
        <v>1.186165887785473</v>
      </c>
      <c r="T71" s="31">
        <v>1.1392517639764479</v>
      </c>
      <c r="U71" s="31">
        <v>1.1008950197900489</v>
      </c>
      <c r="V71" s="31">
        <v>1.068139932806992</v>
      </c>
      <c r="W71" s="31">
        <v>1.0379818098793829</v>
      </c>
      <c r="X71" s="31">
        <v>1.007366987130708</v>
      </c>
      <c r="Y71" s="31">
        <v>0.97319282995585044</v>
      </c>
      <c r="Z71" s="31">
        <v>0.93230773302106518</v>
      </c>
      <c r="AA71" s="31">
        <v>0.88151112026401923</v>
      </c>
      <c r="AB71" s="31">
        <v>0.81755344489373694</v>
      </c>
      <c r="AC71" s="31">
        <v>0.73713618939064762</v>
      </c>
      <c r="AD71" s="31">
        <v>0.63691186550656409</v>
      </c>
      <c r="AE71" s="31">
        <v>0.51348401426468926</v>
      </c>
      <c r="AF71" s="31">
        <v>0.36340720595960468</v>
      </c>
      <c r="AG71" s="31">
        <v>0.18318704015728751</v>
      </c>
      <c r="AH71" s="32">
        <v>-3.0719854304910751E-2</v>
      </c>
    </row>
    <row r="72" spans="1:34" x14ac:dyDescent="0.25">
      <c r="A72" s="30">
        <v>20</v>
      </c>
      <c r="B72" s="31">
        <v>5.9757191041540576</v>
      </c>
      <c r="C72" s="31">
        <v>5.3721889685501107</v>
      </c>
      <c r="D72" s="31">
        <v>4.8204778069624359</v>
      </c>
      <c r="E72" s="31">
        <v>4.3184424788358244</v>
      </c>
      <c r="F72" s="31">
        <v>3.8638908728864458</v>
      </c>
      <c r="G72" s="31">
        <v>3.4545819071018649</v>
      </c>
      <c r="H72" s="31">
        <v>3.088225528741027</v>
      </c>
      <c r="I72" s="31">
        <v>2.7624827143342672</v>
      </c>
      <c r="J72" s="31">
        <v>2.474965469683307</v>
      </c>
      <c r="K72" s="31">
        <v>2.2232368298612508</v>
      </c>
      <c r="L72" s="31">
        <v>2.0048108592126002</v>
      </c>
      <c r="M72" s="31">
        <v>1.8171526513532359</v>
      </c>
      <c r="N72" s="31">
        <v>1.657678329170426</v>
      </c>
      <c r="O72" s="31">
        <v>1.5237550448228261</v>
      </c>
      <c r="P72" s="31">
        <v>1.4127009797404819</v>
      </c>
      <c r="Q72" s="31">
        <v>1.321785344624822</v>
      </c>
      <c r="R72" s="31">
        <v>1.2482283794486639</v>
      </c>
      <c r="S72" s="31">
        <v>1.189201353456212</v>
      </c>
      <c r="T72" s="31">
        <v>1.1418265651630579</v>
      </c>
      <c r="U72" s="31">
        <v>1.103177342356181</v>
      </c>
      <c r="V72" s="31">
        <v>1.0702780420939411</v>
      </c>
      <c r="W72" s="31">
        <v>1.040104050706097</v>
      </c>
      <c r="X72" s="31">
        <v>1.009581783793783</v>
      </c>
      <c r="Y72" s="31">
        <v>0.97558868622952954</v>
      </c>
      <c r="Z72" s="31">
        <v>0.93495323215724579</v>
      </c>
      <c r="AA72" s="31">
        <v>0.88445492499223366</v>
      </c>
      <c r="AB72" s="31">
        <v>0.82082429742118013</v>
      </c>
      <c r="AC72" s="31">
        <v>0.74074291140215165</v>
      </c>
      <c r="AD72" s="31">
        <v>0.64084335816462035</v>
      </c>
      <c r="AE72" s="31">
        <v>0.51770925820942737</v>
      </c>
      <c r="AF72" s="31">
        <v>0.36787526130882242</v>
      </c>
      <c r="AG72" s="31">
        <v>0.18782704650640089</v>
      </c>
      <c r="AH72" s="32">
        <v>-2.5998677882808959E-2</v>
      </c>
    </row>
    <row r="73" spans="1:34" x14ac:dyDescent="0.25">
      <c r="A73" s="30">
        <v>25</v>
      </c>
      <c r="B73" s="31">
        <v>6.0325609011184902</v>
      </c>
      <c r="C73" s="31">
        <v>5.4225821389711362</v>
      </c>
      <c r="D73" s="31">
        <v>4.864933017107167</v>
      </c>
      <c r="E73" s="31">
        <v>4.3574504744490108</v>
      </c>
      <c r="F73" s="31">
        <v>3.8979224791904952</v>
      </c>
      <c r="G73" s="31">
        <v>3.4840880287968301</v>
      </c>
      <c r="H73" s="31">
        <v>3.1136371500046098</v>
      </c>
      <c r="I73" s="31">
        <v>2.7842108988218151</v>
      </c>
      <c r="J73" s="31">
        <v>2.4934013605278218</v>
      </c>
      <c r="K73" s="31">
        <v>2.238751649673381</v>
      </c>
      <c r="L73" s="31">
        <v>2.0177559100806408</v>
      </c>
      <c r="M73" s="31">
        <v>1.8278593148431299</v>
      </c>
      <c r="N73" s="31">
        <v>1.66645806632577</v>
      </c>
      <c r="O73" s="31">
        <v>1.530899396164862</v>
      </c>
      <c r="P73" s="31">
        <v>1.418481565268098</v>
      </c>
      <c r="Q73" s="31">
        <v>1.3264538638145611</v>
      </c>
      <c r="R73" s="31">
        <v>1.2520166112547111</v>
      </c>
      <c r="S73" s="31">
        <v>1.192321156310403</v>
      </c>
      <c r="T73" s="31">
        <v>1.144469876974882</v>
      </c>
      <c r="U73" s="31">
        <v>1.105516180512772</v>
      </c>
      <c r="V73" s="31">
        <v>1.072464503460081</v>
      </c>
      <c r="W73" s="31">
        <v>1.042270311624212</v>
      </c>
      <c r="X73" s="31">
        <v>1.011840100083959</v>
      </c>
      <c r="Y73" s="31">
        <v>0.97803139318949239</v>
      </c>
      <c r="Z73" s="31">
        <v>0.93765274456237357</v>
      </c>
      <c r="AA73" s="31">
        <v>0.88746373709555093</v>
      </c>
      <c r="AB73" s="31">
        <v>0.82417498295335778</v>
      </c>
      <c r="AC73" s="31">
        <v>0.74444812357152201</v>
      </c>
      <c r="AD73" s="31">
        <v>0.64489582965715564</v>
      </c>
      <c r="AE73" s="31">
        <v>0.52208180118874203</v>
      </c>
      <c r="AF73" s="31">
        <v>0.37252076741617751</v>
      </c>
      <c r="AG73" s="31">
        <v>0.19267848686072311</v>
      </c>
      <c r="AH73" s="32">
        <v>-2.1028252684947891E-2</v>
      </c>
    </row>
    <row r="74" spans="1:34" x14ac:dyDescent="0.25">
      <c r="A74" s="30">
        <v>30</v>
      </c>
      <c r="B74" s="31">
        <v>6.0903511177930874</v>
      </c>
      <c r="C74" s="31">
        <v>5.4738425777355069</v>
      </c>
      <c r="D74" s="31">
        <v>4.9101781757519021</v>
      </c>
      <c r="E74" s="31">
        <v>4.3971749302423522</v>
      </c>
      <c r="F74" s="31">
        <v>3.9326008888783308</v>
      </c>
      <c r="G74" s="31">
        <v>3.514175128602699</v>
      </c>
      <c r="H74" s="31">
        <v>3.1395677556296979</v>
      </c>
      <c r="I74" s="31">
        <v>2.8063999054449589</v>
      </c>
      <c r="J74" s="31">
        <v>2.512243742805504</v>
      </c>
      <c r="K74" s="31">
        <v>2.2546224617397361</v>
      </c>
      <c r="L74" s="31">
        <v>2.031010285547449</v>
      </c>
      <c r="M74" s="31">
        <v>1.838832466799821</v>
      </c>
      <c r="N74" s="31">
        <v>1.675465287339422</v>
      </c>
      <c r="O74" s="31">
        <v>1.5382360582802019</v>
      </c>
      <c r="P74" s="31">
        <v>1.424423120007505</v>
      </c>
      <c r="Q74" s="31">
        <v>1.331255842178056</v>
      </c>
      <c r="R74" s="31">
        <v>1.255914623719969</v>
      </c>
      <c r="S74" s="31">
        <v>1.1955308928327459</v>
      </c>
      <c r="T74" s="31">
        <v>1.1471871069872741</v>
      </c>
      <c r="U74" s="31">
        <v>1.107916752925834</v>
      </c>
      <c r="V74" s="31">
        <v>1.0747043466620889</v>
      </c>
      <c r="W74" s="31">
        <v>1.0444854334810789</v>
      </c>
      <c r="X74" s="31">
        <v>1.0141465879392491</v>
      </c>
      <c r="Y74" s="31">
        <v>0.98052541386441283</v>
      </c>
      <c r="Z74" s="31">
        <v>0.94041054435579041</v>
      </c>
      <c r="AA74" s="31">
        <v>0.89054164178397954</v>
      </c>
      <c r="AB74" s="31">
        <v>0.82760939779095366</v>
      </c>
      <c r="AC74" s="31">
        <v>0.74825553329009098</v>
      </c>
      <c r="AD74" s="31">
        <v>0.64907279846615606</v>
      </c>
      <c r="AE74" s="31">
        <v>0.5266049727752764</v>
      </c>
      <c r="AF74" s="31">
        <v>0.3773468649450013</v>
      </c>
      <c r="AG74" s="31">
        <v>0.1977443129742458</v>
      </c>
      <c r="AH74" s="32">
        <v>-1.5805815866686501E-2</v>
      </c>
    </row>
    <row r="75" spans="1:34" x14ac:dyDescent="0.25">
      <c r="A75" s="30">
        <v>35</v>
      </c>
      <c r="B75" s="31">
        <v>6.1490982621847534</v>
      </c>
      <c r="C75" s="31">
        <v>5.5259786039407857</v>
      </c>
      <c r="D75" s="31">
        <v>4.9562214130848714</v>
      </c>
      <c r="E75" s="31">
        <v>4.43762378749474</v>
      </c>
      <c r="F75" s="31">
        <v>3.9679338543195088</v>
      </c>
      <c r="G75" s="31">
        <v>3.544850769979691</v>
      </c>
      <c r="H75" s="31">
        <v>3.1660247201671781</v>
      </c>
      <c r="I75" s="31">
        <v>2.8290569198452449</v>
      </c>
      <c r="J75" s="31">
        <v>2.5314996132485659</v>
      </c>
      <c r="K75" s="31">
        <v>2.2708560738831922</v>
      </c>
      <c r="L75" s="31">
        <v>2.0445806045265642</v>
      </c>
      <c r="M75" s="31">
        <v>1.850078537227511</v>
      </c>
      <c r="N75" s="31">
        <v>1.684706233306249</v>
      </c>
      <c r="O75" s="31">
        <v>1.5457710833543821</v>
      </c>
      <c r="P75" s="31">
        <v>1.430531507234893</v>
      </c>
      <c r="Q75" s="31">
        <v>1.336196954082165</v>
      </c>
      <c r="R75" s="31">
        <v>1.2599279023019541</v>
      </c>
      <c r="S75" s="31">
        <v>1.1988358595714159</v>
      </c>
      <c r="T75" s="31">
        <v>1.1499833628390861</v>
      </c>
      <c r="U75" s="31">
        <v>1.1103839783248941</v>
      </c>
      <c r="V75" s="31">
        <v>1.0770023015201391</v>
      </c>
      <c r="W75" s="31">
        <v>1.046753957187526</v>
      </c>
      <c r="X75" s="31">
        <v>1.01650559936114</v>
      </c>
      <c r="Y75" s="31">
        <v>0.98307491134645597</v>
      </c>
      <c r="Z75" s="31">
        <v>0.94323060572032635</v>
      </c>
      <c r="AA75" s="31">
        <v>0.89369242433100027</v>
      </c>
      <c r="AB75" s="31">
        <v>0.83113113829810514</v>
      </c>
      <c r="AC75" s="31">
        <v>0.7521685480126753</v>
      </c>
      <c r="AD75" s="31">
        <v>0.65337748313710131</v>
      </c>
      <c r="AE75" s="31">
        <v>0.53128180260518221</v>
      </c>
      <c r="AF75" s="31">
        <v>0.38235639462210103</v>
      </c>
      <c r="AG75" s="31">
        <v>0.2030271766644294</v>
      </c>
      <c r="AH75" s="32">
        <v>-1.032890451988599E-2</v>
      </c>
    </row>
    <row r="76" spans="1:34" x14ac:dyDescent="0.25">
      <c r="A76" s="30">
        <v>40</v>
      </c>
      <c r="B76" s="31">
        <v>6.2088105423639171</v>
      </c>
      <c r="C76" s="31">
        <v>5.5789982367480704</v>
      </c>
      <c r="D76" s="31">
        <v>5.0030705593578348</v>
      </c>
      <c r="E76" s="31">
        <v>4.478804687548597</v>
      </c>
      <c r="F76" s="31">
        <v>4.003928827947119</v>
      </c>
      <c r="G76" s="31">
        <v>3.5761222164515618</v>
      </c>
      <c r="H76" s="31">
        <v>3.1930151182314619</v>
      </c>
      <c r="I76" s="31">
        <v>2.852188827727753</v>
      </c>
      <c r="J76" s="31">
        <v>2.5511756686527498</v>
      </c>
      <c r="K76" s="31">
        <v>2.2874589939901542</v>
      </c>
      <c r="L76" s="31">
        <v>2.0584731859950551</v>
      </c>
      <c r="M76" s="31">
        <v>1.861603656193934</v>
      </c>
      <c r="N76" s="31">
        <v>1.694186845384648</v>
      </c>
      <c r="O76" s="31">
        <v>1.5535102236364531</v>
      </c>
      <c r="P76" s="31">
        <v>1.436812290289988</v>
      </c>
      <c r="Q76" s="31">
        <v>1.341282573957272</v>
      </c>
      <c r="R76" s="31">
        <v>1.2640616325217211</v>
      </c>
      <c r="S76" s="31">
        <v>1.202241053138132</v>
      </c>
      <c r="T76" s="31">
        <v>1.1528634522326919</v>
      </c>
      <c r="U76" s="31">
        <v>1.1129224755029761</v>
      </c>
      <c r="V76" s="31">
        <v>1.0793627979179401</v>
      </c>
      <c r="W76" s="31">
        <v>1.0490801237179279</v>
      </c>
      <c r="X76" s="31">
        <v>1.018921186414683</v>
      </c>
      <c r="Y76" s="31">
        <v>0.98568374879131482</v>
      </c>
      <c r="Z76" s="31">
        <v>0.9461166029023359</v>
      </c>
      <c r="AA76" s="31">
        <v>0.89691957007364009</v>
      </c>
      <c r="AB76" s="31">
        <v>0.83474350090251104</v>
      </c>
      <c r="AC76" s="31">
        <v>0.75619027525761873</v>
      </c>
      <c r="AD76" s="31">
        <v>0.65781280227900973</v>
      </c>
      <c r="AE76" s="31">
        <v>0.53611502037813374</v>
      </c>
      <c r="AF76" s="31">
        <v>0.3875518972378178</v>
      </c>
      <c r="AG76" s="31">
        <v>0.20852942981228581</v>
      </c>
      <c r="AH76" s="32">
        <v>-4.5953556728672859E-3</v>
      </c>
    </row>
    <row r="77" spans="1:34" x14ac:dyDescent="0.25">
      <c r="A77" s="30">
        <v>45</v>
      </c>
      <c r="B77" s="31">
        <v>6.2694958664645233</v>
      </c>
      <c r="C77" s="31">
        <v>5.6329091953819654</v>
      </c>
      <c r="D77" s="31">
        <v>5.050733144886066</v>
      </c>
      <c r="E77" s="31">
        <v>4.520724971809857</v>
      </c>
      <c r="F77" s="31">
        <v>4.0405929622577563</v>
      </c>
      <c r="G77" s="31">
        <v>3.607996431605565</v>
      </c>
      <c r="H77" s="31">
        <v>3.2205457245004792</v>
      </c>
      <c r="I77" s="31">
        <v>2.87580221486107</v>
      </c>
      <c r="J77" s="31">
        <v>2.5712783058773039</v>
      </c>
      <c r="K77" s="31">
        <v>2.3044374300105348</v>
      </c>
      <c r="L77" s="31">
        <v>2.0726940489935002</v>
      </c>
      <c r="M77" s="31">
        <v>1.873413653830325</v>
      </c>
      <c r="N77" s="31">
        <v>1.7039127647965231</v>
      </c>
      <c r="O77" s="31">
        <v>1.5614589314389899</v>
      </c>
      <c r="P77" s="31">
        <v>1.443270732576017</v>
      </c>
      <c r="Q77" s="31">
        <v>1.346517776297274</v>
      </c>
      <c r="R77" s="31">
        <v>1.2683206999638259</v>
      </c>
      <c r="S77" s="31">
        <v>1.205751170208113</v>
      </c>
      <c r="T77" s="31">
        <v>1.1558318829339791</v>
      </c>
      <c r="U77" s="31">
        <v>1.115536563316639</v>
      </c>
      <c r="V77" s="31">
        <v>1.081789965802701</v>
      </c>
      <c r="W77" s="31">
        <v>1.051467874110164</v>
      </c>
      <c r="X77" s="31">
        <v>1.021397101228406</v>
      </c>
      <c r="Y77" s="31">
        <v>0.98835548941819484</v>
      </c>
      <c r="Z77" s="31">
        <v>0.94907191021168891</v>
      </c>
      <c r="AA77" s="31">
        <v>0.90022626441243703</v>
      </c>
      <c r="AB77" s="31">
        <v>0.83844948209535886</v>
      </c>
      <c r="AC77" s="31">
        <v>0.76032352260678326</v>
      </c>
      <c r="AD77" s="31">
        <v>0.66238137456440649</v>
      </c>
      <c r="AE77" s="31">
        <v>0.54110705585731744</v>
      </c>
      <c r="AF77" s="31">
        <v>0.3929356136460041</v>
      </c>
      <c r="AG77" s="31">
        <v>0.21425312436232791</v>
      </c>
      <c r="AH77" s="32">
        <v>1.3966937095357681E-3</v>
      </c>
    </row>
    <row r="78" spans="1:34" x14ac:dyDescent="0.25">
      <c r="A78" s="30">
        <v>50</v>
      </c>
      <c r="B78" s="31">
        <v>6.3311618426840273</v>
      </c>
      <c r="C78" s="31">
        <v>5.6877188991305916</v>
      </c>
      <c r="D78" s="31">
        <v>5.0992164000483449</v>
      </c>
      <c r="E78" s="31">
        <v>4.5633916817479721</v>
      </c>
      <c r="F78" s="31">
        <v>4.0779331098115348</v>
      </c>
      <c r="G78" s="31">
        <v>3.6404800790924861</v>
      </c>
      <c r="H78" s="31">
        <v>3.2486230137156649</v>
      </c>
      <c r="I78" s="31">
        <v>2.8999033670772989</v>
      </c>
      <c r="J78" s="31">
        <v>2.591813621845001</v>
      </c>
      <c r="K78" s="31">
        <v>2.3217972899577699</v>
      </c>
      <c r="L78" s="31">
        <v>2.0872489126259972</v>
      </c>
      <c r="M78" s="31">
        <v>1.885514060331452</v>
      </c>
      <c r="N78" s="31">
        <v>1.7138893328272979</v>
      </c>
      <c r="O78" s="31">
        <v>1.569622359138082</v>
      </c>
      <c r="P78" s="31">
        <v>1.4499117975597391</v>
      </c>
      <c r="Q78" s="31">
        <v>1.3519073356595941</v>
      </c>
      <c r="R78" s="31">
        <v>1.2727096902763519</v>
      </c>
      <c r="S78" s="31">
        <v>1.2093706075201101</v>
      </c>
      <c r="T78" s="31">
        <v>1.1588928627723529</v>
      </c>
      <c r="U78" s="31">
        <v>1.118230260685952</v>
      </c>
      <c r="V78" s="31">
        <v>1.08428763518516</v>
      </c>
      <c r="W78" s="31">
        <v>1.053920849465626</v>
      </c>
      <c r="X78" s="31">
        <v>1.023936795994373</v>
      </c>
      <c r="Y78" s="31">
        <v>0.99109339650982298</v>
      </c>
      <c r="Z78" s="31">
        <v>0.9520996020217799</v>
      </c>
      <c r="AA78" s="31">
        <v>0.9036153928114421</v>
      </c>
      <c r="AB78" s="31">
        <v>0.84225177843137466</v>
      </c>
      <c r="AC78" s="31">
        <v>0.76457079770556025</v>
      </c>
      <c r="AD78" s="31">
        <v>0.66708551872933719</v>
      </c>
      <c r="AE78" s="31">
        <v>0.54626003886945906</v>
      </c>
      <c r="AF78" s="31">
        <v>0.39850948476403492</v>
      </c>
      <c r="AG78" s="31">
        <v>0.22020001232259109</v>
      </c>
      <c r="AH78" s="32">
        <v>7.648806726022527E-3</v>
      </c>
    </row>
    <row r="79" spans="1:34" x14ac:dyDescent="0.25">
      <c r="A79" s="30">
        <v>55</v>
      </c>
      <c r="B79" s="31">
        <v>6.3938157792834129</v>
      </c>
      <c r="C79" s="31">
        <v>5.7434344673455922</v>
      </c>
      <c r="D79" s="31">
        <v>5.1485272552869796</v>
      </c>
      <c r="E79" s="31">
        <v>4.6068115588959051</v>
      </c>
      <c r="F79" s="31">
        <v>4.1159558232320848</v>
      </c>
      <c r="G79" s="31">
        <v>3.6735795226266119</v>
      </c>
      <c r="H79" s="31">
        <v>3.277253160681981</v>
      </c>
      <c r="I79" s="31">
        <v>2.924498270272065</v>
      </c>
      <c r="J79" s="31">
        <v>2.612787413542125</v>
      </c>
      <c r="K79" s="31">
        <v>2.3395441819088099</v>
      </c>
      <c r="L79" s="31">
        <v>2.102143196060156</v>
      </c>
      <c r="M79" s="31">
        <v>1.897910105955585</v>
      </c>
      <c r="N79" s="31">
        <v>1.724121590825912</v>
      </c>
      <c r="O79" s="31">
        <v>1.578005359173327</v>
      </c>
      <c r="P79" s="31">
        <v>1.4567401487714171</v>
      </c>
      <c r="Q79" s="31">
        <v>1.357455726665153</v>
      </c>
      <c r="R79" s="31">
        <v>1.27723288917089</v>
      </c>
      <c r="S79" s="31">
        <v>1.2131034618763721</v>
      </c>
      <c r="T79" s="31">
        <v>1.1620502996407369</v>
      </c>
      <c r="U79" s="31">
        <v>1.1210072865945011</v>
      </c>
      <c r="V79" s="31">
        <v>1.0868593361395651</v>
      </c>
      <c r="W79" s="31">
        <v>1.0564423909492251</v>
      </c>
      <c r="X79" s="31">
        <v>1.0265434229681609</v>
      </c>
      <c r="Y79" s="31">
        <v>0.99390043341243794</v>
      </c>
      <c r="Z79" s="31">
        <v>0.95520245276950511</v>
      </c>
      <c r="AA79" s="31">
        <v>0.90708954079821613</v>
      </c>
      <c r="AB79" s="31">
        <v>0.84615278652878623</v>
      </c>
      <c r="AC79" s="31">
        <v>0.76893430826283471</v>
      </c>
      <c r="AD79" s="31">
        <v>0.6719272535733567</v>
      </c>
      <c r="AE79" s="31">
        <v>0.55157579930474698</v>
      </c>
      <c r="AF79" s="31">
        <v>0.40427515157277688</v>
      </c>
      <c r="AG79" s="31">
        <v>0.22637154576461971</v>
      </c>
      <c r="AH79" s="32">
        <v>1.416224653881137E-2</v>
      </c>
    </row>
    <row r="80" spans="1:34" x14ac:dyDescent="0.25">
      <c r="A80" s="30">
        <v>60</v>
      </c>
      <c r="B80" s="31">
        <v>6.4574646845871619</v>
      </c>
      <c r="C80" s="31">
        <v>5.8000627194421162</v>
      </c>
      <c r="D80" s="31">
        <v>5.1986723411077866</v>
      </c>
      <c r="E80" s="31">
        <v>4.6509910448501399</v>
      </c>
      <c r="F80" s="31">
        <v>4.1546673552065476</v>
      </c>
      <c r="G80" s="31">
        <v>3.7073008259857541</v>
      </c>
      <c r="H80" s="31">
        <v>3.3064420402678958</v>
      </c>
      <c r="I80" s="31">
        <v>2.9495926104044958</v>
      </c>
      <c r="J80" s="31">
        <v>2.634205178018469</v>
      </c>
      <c r="K80" s="31">
        <v>2.3576834140041081</v>
      </c>
      <c r="L80" s="31">
        <v>2.1173820185271008</v>
      </c>
      <c r="M80" s="31">
        <v>1.910606721024517</v>
      </c>
      <c r="N80" s="31">
        <v>1.734614280204817</v>
      </c>
      <c r="O80" s="31">
        <v>1.5866124840478431</v>
      </c>
      <c r="P80" s="31">
        <v>1.463760149804828</v>
      </c>
      <c r="Q80" s="31">
        <v>1.3631671239983949</v>
      </c>
      <c r="R80" s="31">
        <v>1.281894282422545</v>
      </c>
      <c r="S80" s="31">
        <v>1.216953530142675</v>
      </c>
      <c r="T80" s="31">
        <v>1.165307801495566</v>
      </c>
      <c r="U80" s="31">
        <v>1.1238710600893791</v>
      </c>
      <c r="V80" s="31">
        <v>1.0895082988036731</v>
      </c>
      <c r="W80" s="31">
        <v>1.0590355397893949</v>
      </c>
      <c r="X80" s="31">
        <v>1.029219834468859</v>
      </c>
      <c r="Y80" s="31">
        <v>0.99677926353579016</v>
      </c>
      <c r="Z80" s="31">
        <v>0.95838293695528676</v>
      </c>
      <c r="AA80" s="31">
        <v>0.91065099396384497</v>
      </c>
      <c r="AB80" s="31">
        <v>0.85015460306932666</v>
      </c>
      <c r="AC80" s="31">
        <v>0.77341596205100704</v>
      </c>
      <c r="AD80" s="31">
        <v>0.67690829795953034</v>
      </c>
      <c r="AE80" s="31">
        <v>0.55705586711693678</v>
      </c>
      <c r="AF80" s="31">
        <v>0.41023395511664629</v>
      </c>
      <c r="AG80" s="31">
        <v>0.23276887682347261</v>
      </c>
      <c r="AH80" s="32">
        <v>2.0937976373625489E-2</v>
      </c>
    </row>
    <row r="81" spans="1:34" x14ac:dyDescent="0.25">
      <c r="A81" s="30">
        <v>65</v>
      </c>
      <c r="B81" s="31">
        <v>6.5221152669832883</v>
      </c>
      <c r="C81" s="31">
        <v>5.8576101748988441</v>
      </c>
      <c r="D81" s="31">
        <v>5.2496579880801004</v>
      </c>
      <c r="E81" s="31">
        <v>4.6959362812706811</v>
      </c>
      <c r="F81" s="31">
        <v>4.1940736584855918</v>
      </c>
      <c r="G81" s="31">
        <v>3.741649753011238</v>
      </c>
      <c r="H81" s="31">
        <v>3.336195227405403</v>
      </c>
      <c r="I81" s="31">
        <v>2.9751917734972571</v>
      </c>
      <c r="J81" s="31">
        <v>2.656072112387359</v>
      </c>
      <c r="K81" s="31">
        <v>2.376219994447657</v>
      </c>
      <c r="L81" s="31">
        <v>2.132970199321484</v>
      </c>
      <c r="M81" s="31">
        <v>1.923608535923558</v>
      </c>
      <c r="N81" s="31">
        <v>1.7453718424399911</v>
      </c>
      <c r="O81" s="31">
        <v>1.59544798632827</v>
      </c>
      <c r="P81" s="31">
        <v>1.470975864317281</v>
      </c>
      <c r="Q81" s="31">
        <v>1.36904540240729</v>
      </c>
      <c r="R81" s="31">
        <v>1.2866975558699529</v>
      </c>
      <c r="S81" s="31">
        <v>1.220924309248306</v>
      </c>
      <c r="T81" s="31">
        <v>1.1686686763567879</v>
      </c>
      <c r="U81" s="31">
        <v>1.1268247002812111</v>
      </c>
      <c r="V81" s="31">
        <v>1.0922374533787751</v>
      </c>
      <c r="W81" s="31">
        <v>1.0617030372780709</v>
      </c>
      <c r="X81" s="31">
        <v>1.0319685828790759</v>
      </c>
      <c r="Y81" s="31">
        <v>0.99973225035315605</v>
      </c>
      <c r="Z81" s="31">
        <v>0.96164322914306033</v>
      </c>
      <c r="AA81" s="31">
        <v>0.91430173796291947</v>
      </c>
      <c r="AB81" s="31">
        <v>0.85425902479826843</v>
      </c>
      <c r="AC81" s="31">
        <v>0.77801736690601431</v>
      </c>
      <c r="AD81" s="31">
        <v>0.68203007081445621</v>
      </c>
      <c r="AE81" s="31">
        <v>0.56270147232327994</v>
      </c>
      <c r="AF81" s="31">
        <v>0.41638693650355768</v>
      </c>
      <c r="AG81" s="31">
        <v>0.2393928576977534</v>
      </c>
      <c r="AH81" s="32">
        <v>2.7976659519699972E-2</v>
      </c>
    </row>
    <row r="82" spans="1:34" x14ac:dyDescent="0.25">
      <c r="A82" s="30">
        <v>70</v>
      </c>
      <c r="B82" s="31">
        <v>6.5877739349233053</v>
      </c>
      <c r="C82" s="31">
        <v>5.9160830532579496</v>
      </c>
      <c r="D82" s="31">
        <v>5.3014902268367647</v>
      </c>
      <c r="E82" s="31">
        <v>4.741653109881022</v>
      </c>
      <c r="F82" s="31">
        <v>4.234180385883386</v>
      </c>
      <c r="G82" s="31">
        <v>3.7766317676079</v>
      </c>
      <c r="H82" s="31">
        <v>3.366517997089999</v>
      </c>
      <c r="I82" s="31">
        <v>3.0013008456365009</v>
      </c>
      <c r="J82" s="31">
        <v>2.678393113825619</v>
      </c>
      <c r="K82" s="31">
        <v>2.3951586315069391</v>
      </c>
      <c r="L82" s="31">
        <v>2.148912257801451</v>
      </c>
      <c r="M82" s="31">
        <v>1.9369198811015229</v>
      </c>
      <c r="N82" s="31">
        <v>1.7563984190709081</v>
      </c>
      <c r="O82" s="31">
        <v>1.6045158186447479</v>
      </c>
      <c r="P82" s="31">
        <v>1.478391056029575</v>
      </c>
      <c r="Q82" s="31">
        <v>1.3750941367033009</v>
      </c>
      <c r="R82" s="31">
        <v>1.291646095415236</v>
      </c>
      <c r="S82" s="31">
        <v>1.2250189961860689</v>
      </c>
      <c r="T82" s="31">
        <v>1.1721359323078711</v>
      </c>
      <c r="U82" s="31">
        <v>1.129871026344121</v>
      </c>
      <c r="V82" s="31">
        <v>1.0950494301296521</v>
      </c>
      <c r="W82" s="31">
        <v>1.064447324770714</v>
      </c>
      <c r="X82" s="31">
        <v>1.0347919206449321</v>
      </c>
      <c r="Y82" s="31">
        <v>1.0027614574013139</v>
      </c>
      <c r="Z82" s="31">
        <v>0.96498520396025844</v>
      </c>
      <c r="AA82" s="31">
        <v>0.91804345851356384</v>
      </c>
      <c r="AB82" s="31">
        <v>0.85846754852438345</v>
      </c>
      <c r="AC82" s="31">
        <v>0.78273983072728814</v>
      </c>
      <c r="AD82" s="31">
        <v>0.68729369112823469</v>
      </c>
      <c r="AE82" s="31">
        <v>0.56851354500453888</v>
      </c>
      <c r="AF82" s="31">
        <v>0.42273483690493407</v>
      </c>
      <c r="AG82" s="31">
        <v>0.24624404064953431</v>
      </c>
      <c r="AH82" s="32">
        <v>3.5278659329810218E-2</v>
      </c>
    </row>
    <row r="83" spans="1:34" x14ac:dyDescent="0.25">
      <c r="A83" s="30">
        <v>75</v>
      </c>
      <c r="B83" s="31">
        <v>6.6544467969222572</v>
      </c>
      <c r="C83" s="31">
        <v>5.9754872741251406</v>
      </c>
      <c r="D83" s="31">
        <v>5.3541747880741548</v>
      </c>
      <c r="E83" s="31">
        <v>4.7881470724682176</v>
      </c>
      <c r="F83" s="31">
        <v>4.2749928902776357</v>
      </c>
      <c r="G83" s="31">
        <v>3.8122520337441048</v>
      </c>
      <c r="H83" s="31">
        <v>3.397415324380713</v>
      </c>
      <c r="I83" s="31">
        <v>3.0279246129719248</v>
      </c>
      <c r="J83" s="31">
        <v>2.7011727795736</v>
      </c>
      <c r="K83" s="31">
        <v>2.4145037335129769</v>
      </c>
      <c r="L83" s="31">
        <v>2.1652124133886899</v>
      </c>
      <c r="M83" s="31">
        <v>1.9505447870707571</v>
      </c>
      <c r="N83" s="31">
        <v>1.767697851700583</v>
      </c>
      <c r="O83" s="31">
        <v>1.6138196336909529</v>
      </c>
      <c r="P83" s="31">
        <v>1.48600918872605</v>
      </c>
      <c r="Q83" s="31">
        <v>1.3813166017614431</v>
      </c>
      <c r="R83" s="31">
        <v>1.296742987024075</v>
      </c>
      <c r="S83" s="31">
        <v>1.229240488012288</v>
      </c>
      <c r="T83" s="31">
        <v>1.1757122774958151</v>
      </c>
      <c r="U83" s="31">
        <v>1.1330125575157639</v>
      </c>
      <c r="V83" s="31">
        <v>1.09794655938463</v>
      </c>
      <c r="W83" s="31">
        <v>1.0672705436863099</v>
      </c>
      <c r="X83" s="31">
        <v>1.0376918002760669</v>
      </c>
      <c r="Y83" s="31">
        <v>1.005868648280577</v>
      </c>
      <c r="Z83" s="31">
        <v>0.9684104360978758</v>
      </c>
      <c r="AA83" s="31">
        <v>0.92187754139740008</v>
      </c>
      <c r="AB83" s="31">
        <v>0.86278137111997433</v>
      </c>
      <c r="AC83" s="31">
        <v>0.78758436147780408</v>
      </c>
      <c r="AD83" s="31">
        <v>0.69269997795449034</v>
      </c>
      <c r="AE83" s="31">
        <v>0.57449271530500912</v>
      </c>
      <c r="AF83" s="31">
        <v>0.4292780975557387</v>
      </c>
      <c r="AG83" s="31">
        <v>0.25332267800442843</v>
      </c>
      <c r="AH83" s="32">
        <v>4.2844039220229391E-2</v>
      </c>
    </row>
    <row r="84" spans="1:34" x14ac:dyDescent="0.25">
      <c r="A84" s="33">
        <v>80</v>
      </c>
      <c r="B84" s="34">
        <v>6.7221396615587059</v>
      </c>
      <c r="C84" s="34">
        <v>6.0358284571696403</v>
      </c>
      <c r="D84" s="34">
        <v>5.407717102552148</v>
      </c>
      <c r="E84" s="34">
        <v>4.8354234108827931</v>
      </c>
      <c r="F84" s="34">
        <v>4.3165162246095363</v>
      </c>
      <c r="G84" s="34">
        <v>3.8485154154517178</v>
      </c>
      <c r="H84" s="34">
        <v>3.428891884400076</v>
      </c>
      <c r="I84" s="34">
        <v>3.0550675617167209</v>
      </c>
      <c r="J84" s="34">
        <v>2.724415406935162</v>
      </c>
      <c r="K84" s="34">
        <v>2.4342594088602909</v>
      </c>
      <c r="L84" s="34">
        <v>2.1818745855683832</v>
      </c>
      <c r="M84" s="34">
        <v>1.9644869844071109</v>
      </c>
      <c r="N84" s="34">
        <v>1.7792736819955239</v>
      </c>
      <c r="O84" s="34">
        <v>1.6233627842240601</v>
      </c>
      <c r="P84" s="34">
        <v>1.4938334262545481</v>
      </c>
      <c r="Q84" s="34">
        <v>1.3877157725202021</v>
      </c>
      <c r="R84" s="34">
        <v>1.301991016725623</v>
      </c>
      <c r="S84" s="34">
        <v>1.2335913818467941</v>
      </c>
      <c r="T84" s="34">
        <v>1.1794001201310971</v>
      </c>
      <c r="U84" s="34">
        <v>1.136251513097295</v>
      </c>
      <c r="V84" s="34">
        <v>1.1009308715355239</v>
      </c>
      <c r="W84" s="34">
        <v>1.070174535507336</v>
      </c>
      <c r="X84" s="34">
        <v>1.0406698743456411</v>
      </c>
      <c r="Y84" s="34">
        <v>1.009055286654756</v>
      </c>
      <c r="Z84" s="34">
        <v>0.97192020031037496</v>
      </c>
      <c r="AA84" s="34">
        <v>0.92580507245957677</v>
      </c>
      <c r="AB84" s="34">
        <v>0.86720138952083581</v>
      </c>
      <c r="AC84" s="34">
        <v>0.79255166718401526</v>
      </c>
      <c r="AD84" s="34">
        <v>0.69824945041035535</v>
      </c>
      <c r="AE84" s="34">
        <v>0.58063931343247444</v>
      </c>
      <c r="AF84" s="34">
        <v>0.43601685975442189</v>
      </c>
      <c r="AG84" s="34">
        <v>0.26062872215157112</v>
      </c>
      <c r="AH84" s="35">
        <v>5.0672562670731842E-2</v>
      </c>
    </row>
    <row r="87" spans="1:34" ht="28.9" customHeight="1" x14ac:dyDescent="0.5">
      <c r="A87" s="1" t="s">
        <v>31</v>
      </c>
    </row>
    <row r="88" spans="1:34" ht="32.1" customHeight="1" x14ac:dyDescent="0.25"/>
    <row r="89" spans="1:34" x14ac:dyDescent="0.25">
      <c r="A89" s="2"/>
      <c r="B89" s="3"/>
      <c r="C89" s="3"/>
      <c r="D89" s="4"/>
    </row>
    <row r="90" spans="1:34" x14ac:dyDescent="0.25">
      <c r="A90" s="5" t="s">
        <v>32</v>
      </c>
      <c r="B90" s="6">
        <v>4</v>
      </c>
      <c r="C90" s="6" t="s">
        <v>12</v>
      </c>
      <c r="D90" s="7"/>
    </row>
    <row r="91" spans="1:34" x14ac:dyDescent="0.25">
      <c r="A91" s="8"/>
      <c r="B91" s="9"/>
      <c r="C91" s="9"/>
      <c r="D91" s="10"/>
    </row>
    <row r="94" spans="1:34" ht="48" customHeight="1" x14ac:dyDescent="0.25">
      <c r="A94" s="21" t="s">
        <v>33</v>
      </c>
      <c r="B94" s="23" t="s">
        <v>34</v>
      </c>
    </row>
    <row r="95" spans="1:34" x14ac:dyDescent="0.25">
      <c r="A95" s="5">
        <v>0</v>
      </c>
      <c r="B95" s="32">
        <v>0.14999999999999991</v>
      </c>
    </row>
    <row r="96" spans="1:34" x14ac:dyDescent="0.25">
      <c r="A96" s="5">
        <v>0.125</v>
      </c>
      <c r="B96" s="32">
        <v>0.14689062500000041</v>
      </c>
    </row>
    <row r="97" spans="1:2" x14ac:dyDescent="0.25">
      <c r="A97" s="5">
        <v>0.25</v>
      </c>
      <c r="B97" s="32">
        <v>6.7520833333333474E-2</v>
      </c>
    </row>
    <row r="98" spans="1:2" x14ac:dyDescent="0.25">
      <c r="A98" s="5">
        <v>0.375</v>
      </c>
      <c r="B98" s="32">
        <v>-3.1742647058823459E-2</v>
      </c>
    </row>
    <row r="99" spans="1:2" x14ac:dyDescent="0.25">
      <c r="A99" s="5">
        <v>0.5</v>
      </c>
      <c r="B99" s="32">
        <v>-1.3249999999999981E-2</v>
      </c>
    </row>
    <row r="100" spans="1:2" x14ac:dyDescent="0.25">
      <c r="A100" s="5">
        <v>0.625</v>
      </c>
      <c r="B100" s="32">
        <v>8.9034653465347446E-3</v>
      </c>
    </row>
    <row r="101" spans="1:2" x14ac:dyDescent="0.25">
      <c r="A101" s="5">
        <v>0.75</v>
      </c>
      <c r="B101" s="32">
        <v>-7.6445544554453182E-3</v>
      </c>
    </row>
    <row r="102" spans="1:2" x14ac:dyDescent="0.25">
      <c r="A102" s="5">
        <v>0.875</v>
      </c>
      <c r="B102" s="32">
        <v>-2.4192574257425711E-2</v>
      </c>
    </row>
    <row r="103" spans="1:2" x14ac:dyDescent="0.25">
      <c r="A103" s="5">
        <v>1</v>
      </c>
      <c r="B103" s="32">
        <v>-4.0740594059405888E-2</v>
      </c>
    </row>
    <row r="104" spans="1:2" x14ac:dyDescent="0.25">
      <c r="A104" s="5">
        <v>1.125</v>
      </c>
      <c r="B104" s="32">
        <v>-4.164601769911503E-2</v>
      </c>
    </row>
    <row r="105" spans="1:2" x14ac:dyDescent="0.25">
      <c r="A105" s="5">
        <v>1.25</v>
      </c>
      <c r="B105" s="32">
        <v>-3.4327586206896347E-2</v>
      </c>
    </row>
    <row r="106" spans="1:2" x14ac:dyDescent="0.25">
      <c r="A106" s="5">
        <v>1.375</v>
      </c>
      <c r="B106" s="32">
        <v>-2.9974137931034431E-2</v>
      </c>
    </row>
    <row r="107" spans="1:2" x14ac:dyDescent="0.25">
      <c r="A107" s="5">
        <v>1.5</v>
      </c>
      <c r="B107" s="32">
        <v>-2.562068965517228E-2</v>
      </c>
    </row>
    <row r="108" spans="1:2" x14ac:dyDescent="0.25">
      <c r="A108" s="5">
        <v>1.625</v>
      </c>
      <c r="B108" s="32">
        <v>-2.305932203389827E-2</v>
      </c>
    </row>
    <row r="109" spans="1:2" x14ac:dyDescent="0.25">
      <c r="A109" s="5">
        <v>1.75</v>
      </c>
      <c r="B109" s="32">
        <v>-2.089830508474555E-2</v>
      </c>
    </row>
    <row r="110" spans="1:2" x14ac:dyDescent="0.25">
      <c r="A110" s="5">
        <v>1.875</v>
      </c>
      <c r="B110" s="32">
        <v>-1.8737288135593281E-2</v>
      </c>
    </row>
    <row r="111" spans="1:2" x14ac:dyDescent="0.25">
      <c r="A111" s="5">
        <v>2</v>
      </c>
      <c r="B111" s="32">
        <v>-1.657627118644078E-2</v>
      </c>
    </row>
    <row r="112" spans="1:2" x14ac:dyDescent="0.25">
      <c r="A112" s="5">
        <v>2.125</v>
      </c>
      <c r="B112" s="32">
        <v>-1.5173400673400559E-2</v>
      </c>
    </row>
    <row r="113" spans="1:2" x14ac:dyDescent="0.25">
      <c r="A113" s="5">
        <v>2.25</v>
      </c>
      <c r="B113" s="32">
        <v>-1.386868686868703E-2</v>
      </c>
    </row>
    <row r="114" spans="1:2" x14ac:dyDescent="0.25">
      <c r="A114" s="5">
        <v>2.375</v>
      </c>
      <c r="B114" s="32">
        <v>-1.256397306397283E-2</v>
      </c>
    </row>
    <row r="115" spans="1:2" x14ac:dyDescent="0.25">
      <c r="A115" s="5">
        <v>2.5</v>
      </c>
      <c r="B115" s="32">
        <v>-1.1259259259259521E-2</v>
      </c>
    </row>
    <row r="116" spans="1:2" x14ac:dyDescent="0.25">
      <c r="A116" s="5">
        <v>2.625</v>
      </c>
      <c r="B116" s="32">
        <v>-9.9545454545453271E-3</v>
      </c>
    </row>
    <row r="117" spans="1:2" x14ac:dyDescent="0.25">
      <c r="A117" s="5">
        <v>2.75</v>
      </c>
      <c r="B117" s="32">
        <v>-8.6498316498315742E-3</v>
      </c>
    </row>
    <row r="118" spans="1:2" x14ac:dyDescent="0.25">
      <c r="A118" s="5">
        <v>2.875</v>
      </c>
      <c r="B118" s="32">
        <v>-7.3451178451175991E-3</v>
      </c>
    </row>
    <row r="119" spans="1:2" x14ac:dyDescent="0.25">
      <c r="A119" s="5">
        <v>3</v>
      </c>
      <c r="B119" s="32">
        <v>-6.0404040404036241E-3</v>
      </c>
    </row>
    <row r="120" spans="1:2" x14ac:dyDescent="0.25">
      <c r="A120" s="5">
        <v>3.125</v>
      </c>
      <c r="B120" s="32">
        <v>-4.3226351351350889E-3</v>
      </c>
    </row>
    <row r="121" spans="1:2" x14ac:dyDescent="0.25">
      <c r="A121" s="5">
        <v>3.25</v>
      </c>
      <c r="B121" s="32">
        <v>-2.5912162162156078E-3</v>
      </c>
    </row>
    <row r="122" spans="1:2" x14ac:dyDescent="0.25">
      <c r="A122" s="5">
        <v>3.375</v>
      </c>
      <c r="B122" s="32">
        <v>-8.5979729729701582E-4</v>
      </c>
    </row>
    <row r="123" spans="1:2" x14ac:dyDescent="0.25">
      <c r="A123" s="5">
        <v>3.5</v>
      </c>
      <c r="B123" s="32">
        <v>8.7162162162157664E-4</v>
      </c>
    </row>
    <row r="124" spans="1:2" x14ac:dyDescent="0.25">
      <c r="A124" s="5">
        <v>3.625</v>
      </c>
      <c r="B124" s="32">
        <v>2.6030405405406132E-3</v>
      </c>
    </row>
    <row r="125" spans="1:2" x14ac:dyDescent="0.25">
      <c r="A125" s="5">
        <v>3.75</v>
      </c>
      <c r="B125" s="32">
        <v>4.3344594594596497E-3</v>
      </c>
    </row>
    <row r="126" spans="1:2" x14ac:dyDescent="0.25">
      <c r="A126" s="5">
        <v>3.875</v>
      </c>
      <c r="B126" s="32">
        <v>6.0658783783786863E-3</v>
      </c>
    </row>
    <row r="127" spans="1:2" x14ac:dyDescent="0.25">
      <c r="A127" s="8">
        <v>4</v>
      </c>
      <c r="B127" s="35">
        <v>7.9656357388315779E-3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R57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44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6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300</v>
      </c>
      <c r="C24" s="13" t="s">
        <v>8</v>
      </c>
      <c r="D24" s="14"/>
    </row>
    <row r="25" spans="1:4" x14ac:dyDescent="0.25">
      <c r="A25" s="5" t="s">
        <v>9</v>
      </c>
      <c r="B25" s="13">
        <v>14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11</v>
      </c>
      <c r="B31" s="6">
        <v>0.18999999999999989</v>
      </c>
      <c r="C31" s="6" t="s">
        <v>12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13</v>
      </c>
    </row>
    <row r="37" spans="1:5" x14ac:dyDescent="0.25">
      <c r="A37" s="17" t="s">
        <v>14</v>
      </c>
      <c r="B37" s="36">
        <v>100</v>
      </c>
      <c r="C37" s="17" t="s">
        <v>15</v>
      </c>
      <c r="D37" s="17" t="s">
        <v>16</v>
      </c>
      <c r="E37" s="17"/>
    </row>
    <row r="38" spans="1:5" hidden="1" x14ac:dyDescent="0.25">
      <c r="A38" s="17" t="s">
        <v>17</v>
      </c>
      <c r="B38" s="17">
        <v>14.7</v>
      </c>
      <c r="C38" s="17"/>
      <c r="D38" s="17" t="s">
        <v>16</v>
      </c>
      <c r="E38" s="17"/>
    </row>
    <row r="39" spans="1:5" hidden="1" x14ac:dyDescent="0.25">
      <c r="A39" s="17" t="s">
        <v>18</v>
      </c>
      <c r="B39" s="17">
        <v>9.0079999999999991</v>
      </c>
      <c r="C39" s="17"/>
      <c r="D39" s="17" t="s">
        <v>16</v>
      </c>
      <c r="E39" s="17"/>
    </row>
    <row r="41" spans="1:5" ht="48" customHeight="1" x14ac:dyDescent="0.25">
      <c r="A41" s="18" t="s">
        <v>19</v>
      </c>
      <c r="B41" s="19" t="s">
        <v>20</v>
      </c>
      <c r="C41" s="19" t="s">
        <v>21</v>
      </c>
      <c r="D41" s="19" t="s">
        <v>22</v>
      </c>
      <c r="E41" s="20" t="s">
        <v>23</v>
      </c>
    </row>
    <row r="42" spans="1:5" x14ac:dyDescent="0.25">
      <c r="A42" s="5">
        <v>0</v>
      </c>
      <c r="B42" s="6">
        <v>101.14927071024179</v>
      </c>
      <c r="C42" s="6">
        <f>101.149270710241 * $B$37 / 100</f>
        <v>101.149270710241</v>
      </c>
      <c r="D42" s="6">
        <v>12.744583333333329</v>
      </c>
      <c r="E42" s="7">
        <f>12.7445833333333 * $B$37 / 100</f>
        <v>12.744583333333299</v>
      </c>
    </row>
    <row r="43" spans="1:5" x14ac:dyDescent="0.25">
      <c r="A43" s="5">
        <v>10</v>
      </c>
      <c r="B43" s="6">
        <v>102.44900262791229</v>
      </c>
      <c r="C43" s="6">
        <f>102.449002627912 * $B$37 / 100</f>
        <v>102.44900262791199</v>
      </c>
      <c r="D43" s="6">
        <v>12.90834666666666</v>
      </c>
      <c r="E43" s="7">
        <f>12.9083466666666 * $B$37 / 100</f>
        <v>12.908346666666597</v>
      </c>
    </row>
    <row r="44" spans="1:5" x14ac:dyDescent="0.25">
      <c r="A44" s="5">
        <v>20</v>
      </c>
      <c r="B44" s="6">
        <v>103.74873454558281</v>
      </c>
      <c r="C44" s="6">
        <f>103.748734545582 * $B$37 / 100</f>
        <v>103.748734545582</v>
      </c>
      <c r="D44" s="6">
        <v>13.07211</v>
      </c>
      <c r="E44" s="7">
        <f>13.0721099999999 * $B$37 / 100</f>
        <v>13.072109999999901</v>
      </c>
    </row>
    <row r="45" spans="1:5" x14ac:dyDescent="0.25">
      <c r="A45" s="5">
        <v>30</v>
      </c>
      <c r="B45" s="6">
        <v>105.04846646325331</v>
      </c>
      <c r="C45" s="6">
        <f>105.048466463253 * $B$37 / 100</f>
        <v>105.04846646325301</v>
      </c>
      <c r="D45" s="6">
        <v>13.23587333333333</v>
      </c>
      <c r="E45" s="7">
        <f>13.2358733333333 * $B$37 / 100</f>
        <v>13.2358733333333</v>
      </c>
    </row>
    <row r="46" spans="1:5" x14ac:dyDescent="0.25">
      <c r="A46" s="5">
        <v>40</v>
      </c>
      <c r="B46" s="6">
        <v>106.3481983809238</v>
      </c>
      <c r="C46" s="6">
        <f>106.348198380923 * $B$37 / 100</f>
        <v>106.34819838092298</v>
      </c>
      <c r="D46" s="6">
        <v>13.39963666666667</v>
      </c>
      <c r="E46" s="7">
        <f>13.3996366666666 * $B$37 / 100</f>
        <v>13.3996366666666</v>
      </c>
    </row>
    <row r="47" spans="1:5" x14ac:dyDescent="0.25">
      <c r="A47" s="5">
        <v>50</v>
      </c>
      <c r="B47" s="6">
        <v>107.6479302985943</v>
      </c>
      <c r="C47" s="6">
        <f>107.647930298594 * $B$37 / 100</f>
        <v>107.64793029859401</v>
      </c>
      <c r="D47" s="6">
        <v>13.5634</v>
      </c>
      <c r="E47" s="7">
        <f>13.5634 * $B$37 / 100</f>
        <v>13.5634</v>
      </c>
    </row>
    <row r="48" spans="1:5" x14ac:dyDescent="0.25">
      <c r="A48" s="5">
        <v>60</v>
      </c>
      <c r="B48" s="6">
        <v>108.9476622162648</v>
      </c>
      <c r="C48" s="6">
        <f>108.947662216264 * $B$37 / 100</f>
        <v>108.94766221626399</v>
      </c>
      <c r="D48" s="6">
        <v>13.72716333333333</v>
      </c>
      <c r="E48" s="7">
        <f>13.7271633333333 * $B$37 / 100</f>
        <v>13.7271633333333</v>
      </c>
    </row>
    <row r="49" spans="1:18" x14ac:dyDescent="0.25">
      <c r="A49" s="5">
        <v>70</v>
      </c>
      <c r="B49" s="6">
        <v>110.2473941339353</v>
      </c>
      <c r="C49" s="6">
        <f>110.247394133935 * $B$37 / 100</f>
        <v>110.24739413393499</v>
      </c>
      <c r="D49" s="6">
        <v>13.890926666666671</v>
      </c>
      <c r="E49" s="7">
        <f>13.8909266666666 * $B$37 / 100</f>
        <v>13.890926666666598</v>
      </c>
    </row>
    <row r="50" spans="1:18" x14ac:dyDescent="0.25">
      <c r="A50" s="5">
        <v>80</v>
      </c>
      <c r="B50" s="6">
        <v>111.5471260516058</v>
      </c>
      <c r="C50" s="6">
        <f>111.547126051605 * $B$37 / 100</f>
        <v>111.54712605160501</v>
      </c>
      <c r="D50" s="6">
        <v>14.054690000000001</v>
      </c>
      <c r="E50" s="7">
        <f>14.0546899999999 * $B$37 / 100</f>
        <v>14.054689999999901</v>
      </c>
    </row>
    <row r="51" spans="1:18" x14ac:dyDescent="0.25">
      <c r="A51" s="5">
        <v>90</v>
      </c>
      <c r="B51" s="6">
        <v>112.8468579692764</v>
      </c>
      <c r="C51" s="6">
        <f>112.846857969276 * $B$37 / 100</f>
        <v>112.846857969276</v>
      </c>
      <c r="D51" s="6">
        <v>14.218453333333329</v>
      </c>
      <c r="E51" s="7">
        <f>14.2184533333333 * $B$37 / 100</f>
        <v>14.218453333333301</v>
      </c>
    </row>
    <row r="52" spans="1:18" x14ac:dyDescent="0.25">
      <c r="A52" s="8">
        <v>100</v>
      </c>
      <c r="B52" s="9">
        <v>114.1465898869469</v>
      </c>
      <c r="C52" s="9">
        <f>114.146589886946 * $B$37 / 100</f>
        <v>114.146589886946</v>
      </c>
      <c r="D52" s="9">
        <v>14.382216666666659</v>
      </c>
      <c r="E52" s="10">
        <f>14.3822166666666 * $B$37 / 100</f>
        <v>14.382216666666601</v>
      </c>
    </row>
    <row r="54" spans="1:18" ht="28.9" customHeight="1" x14ac:dyDescent="0.5">
      <c r="A54" s="1" t="s">
        <v>24</v>
      </c>
      <c r="B54" s="1"/>
    </row>
    <row r="55" spans="1:18" x14ac:dyDescent="0.25">
      <c r="A55" s="21" t="s">
        <v>25</v>
      </c>
      <c r="B55" s="22">
        <v>0</v>
      </c>
      <c r="C55" s="22">
        <v>6.25</v>
      </c>
      <c r="D55" s="22">
        <v>12.5</v>
      </c>
      <c r="E55" s="22">
        <v>18.75</v>
      </c>
      <c r="F55" s="22">
        <v>25</v>
      </c>
      <c r="G55" s="22">
        <v>31.25</v>
      </c>
      <c r="H55" s="22">
        <v>37.5</v>
      </c>
      <c r="I55" s="22">
        <v>43.75</v>
      </c>
      <c r="J55" s="22">
        <v>50</v>
      </c>
      <c r="K55" s="22">
        <v>56.25</v>
      </c>
      <c r="L55" s="22">
        <v>62.5</v>
      </c>
      <c r="M55" s="22">
        <v>68.75</v>
      </c>
      <c r="N55" s="22">
        <v>75</v>
      </c>
      <c r="O55" s="22">
        <v>81.25</v>
      </c>
      <c r="P55" s="22">
        <v>87.5</v>
      </c>
      <c r="Q55" s="22">
        <v>93.75</v>
      </c>
      <c r="R55" s="23">
        <v>100</v>
      </c>
    </row>
    <row r="56" spans="1:18" x14ac:dyDescent="0.25">
      <c r="A56" s="5" t="s">
        <v>26</v>
      </c>
      <c r="B56" s="6">
        <f>0 * $B$39 + (1 - 0) * $B$38</f>
        <v>14.7</v>
      </c>
      <c r="C56" s="6">
        <f>0.0625 * $B$39 + (1 - 0.0625) * $B$38</f>
        <v>14.344250000000001</v>
      </c>
      <c r="D56" s="6">
        <f>0.125 * $B$39 + (1 - 0.125) * $B$38</f>
        <v>13.988499999999998</v>
      </c>
      <c r="E56" s="6">
        <f>0.1875 * $B$39 + (1 - 0.1875) * $B$38</f>
        <v>13.63275</v>
      </c>
      <c r="F56" s="6">
        <f>0.25 * $B$39 + (1 - 0.25) * $B$38</f>
        <v>13.276999999999997</v>
      </c>
      <c r="G56" s="6">
        <f>0.3125 * $B$39 + (1 - 0.3125) * $B$38</f>
        <v>12.921249999999999</v>
      </c>
      <c r="H56" s="6">
        <f>0.375 * $B$39 + (1 - 0.375) * $B$38</f>
        <v>12.5655</v>
      </c>
      <c r="I56" s="6">
        <f>0.4375 * $B$39 + (1 - 0.4375) * $B$38</f>
        <v>12.20975</v>
      </c>
      <c r="J56" s="6">
        <f>0.5 * $B$39 + (1 - 0.5) * $B$38</f>
        <v>11.853999999999999</v>
      </c>
      <c r="K56" s="6">
        <f>0.5625 * $B$39 + (1 - 0.5625) * $B$38</f>
        <v>11.498249999999999</v>
      </c>
      <c r="L56" s="6">
        <f>0.625 * $B$39 + (1 - 0.625) * $B$38</f>
        <v>11.142499999999998</v>
      </c>
      <c r="M56" s="6">
        <f>0.6875 * $B$39 + (1 - 0.6875) * $B$38</f>
        <v>10.78675</v>
      </c>
      <c r="N56" s="6">
        <f>0.75 * $B$39 + (1 - 0.75) * $B$38</f>
        <v>10.430999999999999</v>
      </c>
      <c r="O56" s="6">
        <f>0.8125 * $B$39 + (1 - 0.8125) * $B$38</f>
        <v>10.075249999999999</v>
      </c>
      <c r="P56" s="6">
        <f>0.875 * $B$39 + (1 - 0.875) * $B$38</f>
        <v>9.7195</v>
      </c>
      <c r="Q56" s="6">
        <f>0.9375 * $B$39 + (1 - 0.9375) * $B$38</f>
        <v>9.3637499999999978</v>
      </c>
      <c r="R56" s="7">
        <f>1 * $B$39 + (1 - 1) * $B$38</f>
        <v>9.0079999999999991</v>
      </c>
    </row>
    <row r="57" spans="1:18" x14ac:dyDescent="0.25">
      <c r="A57" s="8" t="s">
        <v>27</v>
      </c>
      <c r="B57" s="9">
        <f>(0 * $B$39 + (1 - 0) * $B$38) * $B$37 / 100</f>
        <v>14.7</v>
      </c>
      <c r="C57" s="9">
        <f>(0.0625 * $B$39 + (1 - 0.0625) * $B$38) * $B$37 / 100</f>
        <v>14.344249999999999</v>
      </c>
      <c r="D57" s="9">
        <f>(0.125 * $B$39 + (1 - 0.125) * $B$38) * $B$37 / 100</f>
        <v>13.988499999999998</v>
      </c>
      <c r="E57" s="9">
        <f>(0.1875 * $B$39 + (1 - 0.1875) * $B$38) * $B$37 / 100</f>
        <v>13.632749999999998</v>
      </c>
      <c r="F57" s="9">
        <f>(0.25 * $B$39 + (1 - 0.25) * $B$38) * $B$37 / 100</f>
        <v>13.276999999999997</v>
      </c>
      <c r="G57" s="9">
        <f>(0.3125 * $B$39 + (1 - 0.3125) * $B$38) * $B$37 / 100</f>
        <v>12.921249999999997</v>
      </c>
      <c r="H57" s="9">
        <f>(0.375 * $B$39 + (1 - 0.375) * $B$38) * $B$37 / 100</f>
        <v>12.5655</v>
      </c>
      <c r="I57" s="9">
        <f>(0.4375 * $B$39 + (1 - 0.4375) * $B$38) * $B$37 / 100</f>
        <v>12.20975</v>
      </c>
      <c r="J57" s="9">
        <f>(0.5 * $B$39 + (1 - 0.5) * $B$38) * $B$37 / 100</f>
        <v>11.853999999999999</v>
      </c>
      <c r="K57" s="9">
        <f>(0.5625 * $B$39 + (1 - 0.5625) * $B$38) * $B$37 / 100</f>
        <v>11.498249999999999</v>
      </c>
      <c r="L57" s="9">
        <f>(0.625 * $B$39 + (1 - 0.625) * $B$38) * $B$37 / 100</f>
        <v>11.142499999999998</v>
      </c>
      <c r="M57" s="9">
        <f>(0.6875 * $B$39 + (1 - 0.6875) * $B$38) * $B$37 / 100</f>
        <v>10.78675</v>
      </c>
      <c r="N57" s="9">
        <f>(0.75 * $B$39 + (1 - 0.75) * $B$38) * $B$37 / 100</f>
        <v>10.430999999999999</v>
      </c>
      <c r="O57" s="9">
        <f>(0.8125 * $B$39 + (1 - 0.8125) * $B$38) * $B$37 / 100</f>
        <v>10.075249999999999</v>
      </c>
      <c r="P57" s="9">
        <f>(0.875 * $B$39 + (1 - 0.875) * $B$38) * $B$37 / 100</f>
        <v>9.7195</v>
      </c>
      <c r="Q57" s="9">
        <f>(0.9375 * $B$39 + (1 - 0.9375) * $B$38) * $B$37 / 100</f>
        <v>9.3637499999999978</v>
      </c>
      <c r="R57" s="10">
        <f>(1 * $B$39 + (1 - 1) * $B$38) * $B$37 / 100</f>
        <v>9.0079999999999991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R62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44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6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300</v>
      </c>
      <c r="C24" s="13" t="s">
        <v>8</v>
      </c>
      <c r="D24" s="14"/>
    </row>
    <row r="25" spans="1:4" x14ac:dyDescent="0.25">
      <c r="A25" s="5" t="s">
        <v>9</v>
      </c>
      <c r="B25" s="13">
        <v>14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11</v>
      </c>
      <c r="B31" s="6">
        <v>0.18999999999999989</v>
      </c>
      <c r="C31" s="6" t="s">
        <v>12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13</v>
      </c>
    </row>
    <row r="37" spans="1:5" x14ac:dyDescent="0.25">
      <c r="A37" s="17" t="s">
        <v>14</v>
      </c>
      <c r="B37" s="36">
        <v>100</v>
      </c>
      <c r="C37" s="17" t="s">
        <v>15</v>
      </c>
      <c r="D37" s="17" t="s">
        <v>16</v>
      </c>
      <c r="E37" s="17"/>
    </row>
    <row r="38" spans="1:5" hidden="1" x14ac:dyDescent="0.25">
      <c r="A38" s="17" t="s">
        <v>17</v>
      </c>
      <c r="B38" s="17">
        <v>14.7</v>
      </c>
      <c r="C38" s="17"/>
      <c r="D38" s="17" t="s">
        <v>16</v>
      </c>
      <c r="E38" s="17"/>
    </row>
    <row r="39" spans="1:5" hidden="1" x14ac:dyDescent="0.25">
      <c r="A39" s="17" t="s">
        <v>18</v>
      </c>
      <c r="B39" s="17">
        <v>9.0079999999999991</v>
      </c>
      <c r="C39" s="17"/>
      <c r="D39" s="17" t="s">
        <v>16</v>
      </c>
      <c r="E39" s="17"/>
    </row>
    <row r="41" spans="1:5" ht="48" customHeight="1" x14ac:dyDescent="0.25">
      <c r="A41" s="18" t="s">
        <v>19</v>
      </c>
      <c r="B41" s="19" t="s">
        <v>20</v>
      </c>
      <c r="C41" s="19" t="s">
        <v>21</v>
      </c>
      <c r="D41" s="19" t="s">
        <v>22</v>
      </c>
      <c r="E41" s="20" t="s">
        <v>23</v>
      </c>
    </row>
    <row r="42" spans="1:5" x14ac:dyDescent="0.25">
      <c r="A42" s="5">
        <v>-50</v>
      </c>
      <c r="B42" s="6">
        <v>94.042267059383761</v>
      </c>
      <c r="C42" s="6">
        <f>94.0422670593837 * $B$37 / 100</f>
        <v>94.042267059383704</v>
      </c>
      <c r="D42" s="6">
        <v>11.849116666666671</v>
      </c>
      <c r="E42" s="7">
        <f>11.8491166666666 * $B$37 / 100</f>
        <v>11.8491166666666</v>
      </c>
    </row>
    <row r="43" spans="1:5" x14ac:dyDescent="0.25">
      <c r="A43" s="5">
        <v>-40</v>
      </c>
      <c r="B43" s="6">
        <v>95.463667789555373</v>
      </c>
      <c r="C43" s="6">
        <f>95.4636677895553 * $B$37 / 100</f>
        <v>95.463667789555288</v>
      </c>
      <c r="D43" s="6">
        <v>12.02821</v>
      </c>
      <c r="E43" s="7">
        <f>12.02821 * $B$37 / 100</f>
        <v>12.02821</v>
      </c>
    </row>
    <row r="44" spans="1:5" x14ac:dyDescent="0.25">
      <c r="A44" s="5">
        <v>-30</v>
      </c>
      <c r="B44" s="6">
        <v>96.885068519726985</v>
      </c>
      <c r="C44" s="6">
        <f>96.8850685197269 * $B$37 / 100</f>
        <v>96.8850685197269</v>
      </c>
      <c r="D44" s="6">
        <v>12.20730333333333</v>
      </c>
      <c r="E44" s="7">
        <f>12.2073033333333 * $B$37 / 100</f>
        <v>12.2073033333333</v>
      </c>
    </row>
    <row r="45" spans="1:5" x14ac:dyDescent="0.25">
      <c r="A45" s="5">
        <v>-20</v>
      </c>
      <c r="B45" s="6">
        <v>98.306469249898598</v>
      </c>
      <c r="C45" s="6">
        <f>98.3064692498986 * $B$37 / 100</f>
        <v>98.306469249898598</v>
      </c>
      <c r="D45" s="6">
        <v>12.38639666666667</v>
      </c>
      <c r="E45" s="7">
        <f>12.3863966666666 * $B$37 / 100</f>
        <v>12.386396666666601</v>
      </c>
    </row>
    <row r="46" spans="1:5" x14ac:dyDescent="0.25">
      <c r="A46" s="5">
        <v>-10</v>
      </c>
      <c r="B46" s="6">
        <v>99.727869980070196</v>
      </c>
      <c r="C46" s="6">
        <f>99.7278699800702 * $B$37 / 100</f>
        <v>99.727869980070196</v>
      </c>
      <c r="D46" s="6">
        <v>12.56549</v>
      </c>
      <c r="E46" s="7">
        <f>12.5654899999999 * $B$37 / 100</f>
        <v>12.565489999999899</v>
      </c>
    </row>
    <row r="47" spans="1:5" x14ac:dyDescent="0.25">
      <c r="A47" s="5">
        <v>0</v>
      </c>
      <c r="B47" s="6">
        <v>101.14927071024179</v>
      </c>
      <c r="C47" s="6">
        <f>101.149270710241 * $B$37 / 100</f>
        <v>101.149270710241</v>
      </c>
      <c r="D47" s="6">
        <v>12.744583333333329</v>
      </c>
      <c r="E47" s="7">
        <f>12.7445833333333 * $B$37 / 100</f>
        <v>12.744583333333299</v>
      </c>
    </row>
    <row r="48" spans="1:5" x14ac:dyDescent="0.25">
      <c r="A48" s="5">
        <v>10</v>
      </c>
      <c r="B48" s="6">
        <v>102.44900262791229</v>
      </c>
      <c r="C48" s="6">
        <f>102.449002627912 * $B$37 / 100</f>
        <v>102.44900262791199</v>
      </c>
      <c r="D48" s="6">
        <v>12.90834666666666</v>
      </c>
      <c r="E48" s="7">
        <f>12.9083466666666 * $B$37 / 100</f>
        <v>12.908346666666597</v>
      </c>
    </row>
    <row r="49" spans="1:18" x14ac:dyDescent="0.25">
      <c r="A49" s="5">
        <v>20</v>
      </c>
      <c r="B49" s="6">
        <v>103.74873454558281</v>
      </c>
      <c r="C49" s="6">
        <f>103.748734545582 * $B$37 / 100</f>
        <v>103.748734545582</v>
      </c>
      <c r="D49" s="6">
        <v>13.07211</v>
      </c>
      <c r="E49" s="7">
        <f>13.0721099999999 * $B$37 / 100</f>
        <v>13.072109999999901</v>
      </c>
    </row>
    <row r="50" spans="1:18" x14ac:dyDescent="0.25">
      <c r="A50" s="5">
        <v>30</v>
      </c>
      <c r="B50" s="6">
        <v>105.04846646325331</v>
      </c>
      <c r="C50" s="6">
        <f>105.048466463253 * $B$37 / 100</f>
        <v>105.04846646325301</v>
      </c>
      <c r="D50" s="6">
        <v>13.23587333333333</v>
      </c>
      <c r="E50" s="7">
        <f>13.2358733333333 * $B$37 / 100</f>
        <v>13.2358733333333</v>
      </c>
    </row>
    <row r="51" spans="1:18" x14ac:dyDescent="0.25">
      <c r="A51" s="5">
        <v>40</v>
      </c>
      <c r="B51" s="6">
        <v>106.3481983809238</v>
      </c>
      <c r="C51" s="6">
        <f>106.348198380923 * $B$37 / 100</f>
        <v>106.34819838092298</v>
      </c>
      <c r="D51" s="6">
        <v>13.39963666666667</v>
      </c>
      <c r="E51" s="7">
        <f>13.3996366666666 * $B$37 / 100</f>
        <v>13.3996366666666</v>
      </c>
    </row>
    <row r="52" spans="1:18" x14ac:dyDescent="0.25">
      <c r="A52" s="5">
        <v>50</v>
      </c>
      <c r="B52" s="6">
        <v>107.6479302985943</v>
      </c>
      <c r="C52" s="6">
        <f>107.647930298594 * $B$37 / 100</f>
        <v>107.64793029859401</v>
      </c>
      <c r="D52" s="6">
        <v>13.5634</v>
      </c>
      <c r="E52" s="7">
        <f>13.5634 * $B$37 / 100</f>
        <v>13.5634</v>
      </c>
    </row>
    <row r="53" spans="1:18" x14ac:dyDescent="0.25">
      <c r="A53" s="5">
        <v>60</v>
      </c>
      <c r="B53" s="6">
        <v>108.9476622162648</v>
      </c>
      <c r="C53" s="6">
        <f>108.947662216264 * $B$37 / 100</f>
        <v>108.94766221626399</v>
      </c>
      <c r="D53" s="6">
        <v>13.72716333333333</v>
      </c>
      <c r="E53" s="7">
        <f>13.7271633333333 * $B$37 / 100</f>
        <v>13.7271633333333</v>
      </c>
    </row>
    <row r="54" spans="1:18" x14ac:dyDescent="0.25">
      <c r="A54" s="5">
        <v>70</v>
      </c>
      <c r="B54" s="6">
        <v>110.2473941339353</v>
      </c>
      <c r="C54" s="6">
        <f>110.247394133935 * $B$37 / 100</f>
        <v>110.24739413393499</v>
      </c>
      <c r="D54" s="6">
        <v>13.890926666666671</v>
      </c>
      <c r="E54" s="7">
        <f>13.8909266666666 * $B$37 / 100</f>
        <v>13.890926666666598</v>
      </c>
    </row>
    <row r="55" spans="1:18" x14ac:dyDescent="0.25">
      <c r="A55" s="5">
        <v>80</v>
      </c>
      <c r="B55" s="6">
        <v>111.5471260516058</v>
      </c>
      <c r="C55" s="6">
        <f>111.547126051605 * $B$37 / 100</f>
        <v>111.54712605160501</v>
      </c>
      <c r="D55" s="6">
        <v>14.054690000000001</v>
      </c>
      <c r="E55" s="7">
        <f>14.0546899999999 * $B$37 / 100</f>
        <v>14.054689999999901</v>
      </c>
    </row>
    <row r="56" spans="1:18" x14ac:dyDescent="0.25">
      <c r="A56" s="5">
        <v>90</v>
      </c>
      <c r="B56" s="6">
        <v>112.8468579692764</v>
      </c>
      <c r="C56" s="6">
        <f>112.846857969276 * $B$37 / 100</f>
        <v>112.846857969276</v>
      </c>
      <c r="D56" s="6">
        <v>14.218453333333329</v>
      </c>
      <c r="E56" s="7">
        <f>14.2184533333333 * $B$37 / 100</f>
        <v>14.218453333333301</v>
      </c>
    </row>
    <row r="57" spans="1:18" x14ac:dyDescent="0.25">
      <c r="A57" s="8">
        <v>100</v>
      </c>
      <c r="B57" s="9">
        <v>114.1465898869469</v>
      </c>
      <c r="C57" s="9">
        <f>114.146589886946 * $B$37 / 100</f>
        <v>114.146589886946</v>
      </c>
      <c r="D57" s="9">
        <v>14.382216666666659</v>
      </c>
      <c r="E57" s="10">
        <f>14.3822166666666 * $B$37 / 100</f>
        <v>14.382216666666601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$B$39 + (1 - 0) * $B$38</f>
        <v>14.7</v>
      </c>
      <c r="C61" s="6">
        <f>0.0625 * $B$39 + (1 - 0.0625) * $B$38</f>
        <v>14.344250000000001</v>
      </c>
      <c r="D61" s="6">
        <f>0.125 * $B$39 + (1 - 0.125) * $B$38</f>
        <v>13.988499999999998</v>
      </c>
      <c r="E61" s="6">
        <f>0.1875 * $B$39 + (1 - 0.1875) * $B$38</f>
        <v>13.63275</v>
      </c>
      <c r="F61" s="6">
        <f>0.25 * $B$39 + (1 - 0.25) * $B$38</f>
        <v>13.276999999999997</v>
      </c>
      <c r="G61" s="6">
        <f>0.3125 * $B$39 + (1 - 0.3125) * $B$38</f>
        <v>12.921249999999999</v>
      </c>
      <c r="H61" s="6">
        <f>0.375 * $B$39 + (1 - 0.375) * $B$38</f>
        <v>12.5655</v>
      </c>
      <c r="I61" s="6">
        <f>0.4375 * $B$39 + (1 - 0.4375) * $B$38</f>
        <v>12.20975</v>
      </c>
      <c r="J61" s="6">
        <f>0.5 * $B$39 + (1 - 0.5) * $B$38</f>
        <v>11.853999999999999</v>
      </c>
      <c r="K61" s="6">
        <f>0.5625 * $B$39 + (1 - 0.5625) * $B$38</f>
        <v>11.498249999999999</v>
      </c>
      <c r="L61" s="6">
        <f>0.625 * $B$39 + (1 - 0.625) * $B$38</f>
        <v>11.142499999999998</v>
      </c>
      <c r="M61" s="6">
        <f>0.6875 * $B$39 + (1 - 0.6875) * $B$38</f>
        <v>10.78675</v>
      </c>
      <c r="N61" s="6">
        <f>0.75 * $B$39 + (1 - 0.75) * $B$38</f>
        <v>10.430999999999999</v>
      </c>
      <c r="O61" s="6">
        <f>0.8125 * $B$39 + (1 - 0.8125) * $B$38</f>
        <v>10.075249999999999</v>
      </c>
      <c r="P61" s="6">
        <f>0.875 * $B$39 + (1 - 0.875) * $B$38</f>
        <v>9.7195</v>
      </c>
      <c r="Q61" s="6">
        <f>0.9375 * $B$39 + (1 - 0.9375) * $B$38</f>
        <v>9.3637499999999978</v>
      </c>
      <c r="R61" s="7">
        <f>1 * $B$39 + (1 - 1) * $B$38</f>
        <v>9.0079999999999991</v>
      </c>
    </row>
    <row r="62" spans="1:18" x14ac:dyDescent="0.25">
      <c r="A62" s="8" t="s">
        <v>27</v>
      </c>
      <c r="B62" s="9">
        <f>(0 * $B$39 + (1 - 0) * $B$38) * $B$37 / 100</f>
        <v>14.7</v>
      </c>
      <c r="C62" s="9">
        <f>(0.0625 * $B$39 + (1 - 0.0625) * $B$38) * $B$37 / 100</f>
        <v>14.344249999999999</v>
      </c>
      <c r="D62" s="9">
        <f>(0.125 * $B$39 + (1 - 0.125) * $B$38) * $B$37 / 100</f>
        <v>13.988499999999998</v>
      </c>
      <c r="E62" s="9">
        <f>(0.1875 * $B$39 + (1 - 0.1875) * $B$38) * $B$37 / 100</f>
        <v>13.632749999999998</v>
      </c>
      <c r="F62" s="9">
        <f>(0.25 * $B$39 + (1 - 0.25) * $B$38) * $B$37 / 100</f>
        <v>13.276999999999997</v>
      </c>
      <c r="G62" s="9">
        <f>(0.3125 * $B$39 + (1 - 0.3125) * $B$38) * $B$37 / 100</f>
        <v>12.921249999999997</v>
      </c>
      <c r="H62" s="9">
        <f>(0.375 * $B$39 + (1 - 0.375) * $B$38) * $B$37 / 100</f>
        <v>12.5655</v>
      </c>
      <c r="I62" s="9">
        <f>(0.4375 * $B$39 + (1 - 0.4375) * $B$38) * $B$37 / 100</f>
        <v>12.20975</v>
      </c>
      <c r="J62" s="9">
        <f>(0.5 * $B$39 + (1 - 0.5) * $B$38) * $B$37 / 100</f>
        <v>11.853999999999999</v>
      </c>
      <c r="K62" s="9">
        <f>(0.5625 * $B$39 + (1 - 0.5625) * $B$38) * $B$37 / 100</f>
        <v>11.498249999999999</v>
      </c>
      <c r="L62" s="9">
        <f>(0.625 * $B$39 + (1 - 0.625) * $B$38) * $B$37 / 100</f>
        <v>11.142499999999998</v>
      </c>
      <c r="M62" s="9">
        <f>(0.6875 * $B$39 + (1 - 0.6875) * $B$38) * $B$37 / 100</f>
        <v>10.78675</v>
      </c>
      <c r="N62" s="9">
        <f>(0.75 * $B$39 + (1 - 0.75) * $B$38) * $B$37 / 100</f>
        <v>10.430999999999999</v>
      </c>
      <c r="O62" s="9">
        <f>(0.8125 * $B$39 + (1 - 0.8125) * $B$38) * $B$37 / 100</f>
        <v>10.075249999999999</v>
      </c>
      <c r="P62" s="9">
        <f>(0.875 * $B$39 + (1 - 0.875) * $B$38) * $B$37 / 100</f>
        <v>9.7195</v>
      </c>
      <c r="Q62" s="9">
        <f>(0.9375 * $B$39 + (1 - 0.9375) * $B$38) * $B$37 / 100</f>
        <v>9.3637499999999978</v>
      </c>
      <c r="R62" s="10">
        <f>(1 * $B$39 + (1 - 1) * $B$38) * $B$37 / 100</f>
        <v>9.0079999999999991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AH159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38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44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6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300</v>
      </c>
      <c r="C24" s="13" t="s">
        <v>8</v>
      </c>
      <c r="D24" s="14"/>
    </row>
    <row r="25" spans="1:4" x14ac:dyDescent="0.25">
      <c r="A25" s="5" t="s">
        <v>9</v>
      </c>
      <c r="B25" s="13">
        <v>14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11</v>
      </c>
      <c r="B31" s="6">
        <v>0.18999999999999989</v>
      </c>
      <c r="C31" s="6" t="s">
        <v>12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13</v>
      </c>
    </row>
    <row r="37" spans="1:5" x14ac:dyDescent="0.25">
      <c r="A37" s="17" t="s">
        <v>14</v>
      </c>
      <c r="B37" s="36">
        <v>100</v>
      </c>
      <c r="C37" s="17" t="s">
        <v>15</v>
      </c>
      <c r="D37" s="17" t="s">
        <v>16</v>
      </c>
      <c r="E37" s="17"/>
    </row>
    <row r="38" spans="1:5" hidden="1" x14ac:dyDescent="0.25">
      <c r="A38" s="17" t="s">
        <v>17</v>
      </c>
      <c r="B38" s="17">
        <v>14.7</v>
      </c>
      <c r="C38" s="17"/>
      <c r="D38" s="17" t="s">
        <v>16</v>
      </c>
      <c r="E38" s="17"/>
    </row>
    <row r="39" spans="1:5" hidden="1" x14ac:dyDescent="0.25">
      <c r="A39" s="17" t="s">
        <v>18</v>
      </c>
      <c r="B39" s="17">
        <v>9.0079999999999991</v>
      </c>
      <c r="C39" s="17"/>
      <c r="D39" s="17" t="s">
        <v>16</v>
      </c>
      <c r="E39" s="17"/>
    </row>
    <row r="41" spans="1:5" ht="48" customHeight="1" x14ac:dyDescent="0.25">
      <c r="A41" s="18" t="s">
        <v>19</v>
      </c>
      <c r="B41" s="19" t="s">
        <v>20</v>
      </c>
      <c r="C41" s="19" t="s">
        <v>21</v>
      </c>
      <c r="D41" s="19" t="s">
        <v>22</v>
      </c>
      <c r="E41" s="20" t="s">
        <v>23</v>
      </c>
    </row>
    <row r="42" spans="1:5" x14ac:dyDescent="0.25">
      <c r="A42" s="5">
        <v>-120</v>
      </c>
      <c r="B42" s="6">
        <v>83.383692834088791</v>
      </c>
      <c r="C42" s="6">
        <f>83.3836928340887 * $B$37 / 100</f>
        <v>83.383692834088706</v>
      </c>
      <c r="D42" s="6">
        <v>10.506159999999999</v>
      </c>
      <c r="E42" s="7">
        <f>10.50616 * $B$37 / 100</f>
        <v>10.506159999999999</v>
      </c>
    </row>
    <row r="43" spans="1:5" x14ac:dyDescent="0.25">
      <c r="A43" s="5">
        <v>-114</v>
      </c>
      <c r="B43" s="6">
        <v>84.449164006419863</v>
      </c>
      <c r="C43" s="6">
        <f>84.4491640064198 * $B$37 / 100</f>
        <v>84.449164006419821</v>
      </c>
      <c r="D43" s="6">
        <v>10.640407</v>
      </c>
      <c r="E43" s="7">
        <f>10.640407 * $B$37 / 100</f>
        <v>10.640407</v>
      </c>
    </row>
    <row r="44" spans="1:5" x14ac:dyDescent="0.25">
      <c r="A44" s="5">
        <v>-108</v>
      </c>
      <c r="B44" s="6">
        <v>85.51463517875095</v>
      </c>
      <c r="C44" s="6">
        <f>85.5146351787509 * $B$37 / 100</f>
        <v>85.514635178750893</v>
      </c>
      <c r="D44" s="6">
        <v>10.774654</v>
      </c>
      <c r="E44" s="7">
        <f>10.774654 * $B$37 / 100</f>
        <v>10.774654</v>
      </c>
    </row>
    <row r="45" spans="1:5" x14ac:dyDescent="0.25">
      <c r="A45" s="5">
        <v>-101</v>
      </c>
      <c r="B45" s="6">
        <v>86.757684879803875</v>
      </c>
      <c r="C45" s="6">
        <f>86.7576848798038 * $B$37 / 100</f>
        <v>86.757684879803804</v>
      </c>
      <c r="D45" s="6">
        <v>10.9312755</v>
      </c>
      <c r="E45" s="7">
        <f>10.9312754999999 * $B$37 / 100</f>
        <v>10.931275499999902</v>
      </c>
    </row>
    <row r="46" spans="1:5" x14ac:dyDescent="0.25">
      <c r="A46" s="5">
        <v>-95</v>
      </c>
      <c r="B46" s="6">
        <v>87.645963773611527</v>
      </c>
      <c r="C46" s="6">
        <f>87.6459637736115 * $B$37 / 100</f>
        <v>87.645963773611498</v>
      </c>
      <c r="D46" s="6">
        <v>11.04319666666667</v>
      </c>
      <c r="E46" s="7">
        <f>11.0431966666666 * $B$37 / 100</f>
        <v>11.043196666666599</v>
      </c>
    </row>
    <row r="47" spans="1:5" x14ac:dyDescent="0.25">
      <c r="A47" s="5">
        <v>-89</v>
      </c>
      <c r="B47" s="6">
        <v>88.4988042117145</v>
      </c>
      <c r="C47" s="6">
        <f>88.4988042117145 * $B$37 / 100</f>
        <v>88.4988042117145</v>
      </c>
      <c r="D47" s="6">
        <v>11.150652666666669</v>
      </c>
      <c r="E47" s="7">
        <f>11.1506526666666 * $B$37 / 100</f>
        <v>11.150652666666598</v>
      </c>
    </row>
    <row r="48" spans="1:5" x14ac:dyDescent="0.25">
      <c r="A48" s="5">
        <v>-83</v>
      </c>
      <c r="B48" s="6">
        <v>89.351644649817459</v>
      </c>
      <c r="C48" s="6">
        <f>89.3516446498174 * $B$37 / 100</f>
        <v>89.351644649817402</v>
      </c>
      <c r="D48" s="6">
        <v>11.25810866666667</v>
      </c>
      <c r="E48" s="7">
        <f>11.2581086666666 * $B$37 / 100</f>
        <v>11.258108666666599</v>
      </c>
    </row>
    <row r="49" spans="1:5" x14ac:dyDescent="0.25">
      <c r="A49" s="5">
        <v>-76</v>
      </c>
      <c r="B49" s="6">
        <v>90.346625160937592</v>
      </c>
      <c r="C49" s="6">
        <f>90.3466251609375 * $B$37 / 100</f>
        <v>90.346625160937506</v>
      </c>
      <c r="D49" s="6">
        <v>11.383474</v>
      </c>
      <c r="E49" s="7">
        <f>11.383474 * $B$37 / 100</f>
        <v>11.383474</v>
      </c>
    </row>
    <row r="50" spans="1:5" x14ac:dyDescent="0.25">
      <c r="A50" s="5">
        <v>-70</v>
      </c>
      <c r="B50" s="6">
        <v>91.199465599040551</v>
      </c>
      <c r="C50" s="6">
        <f>91.1994655990405 * $B$37 / 100</f>
        <v>91.199465599040479</v>
      </c>
      <c r="D50" s="6">
        <v>11.490930000000001</v>
      </c>
      <c r="E50" s="7">
        <f>11.4909299999999 * $B$37 / 100</f>
        <v>11.490929999999899</v>
      </c>
    </row>
    <row r="51" spans="1:5" x14ac:dyDescent="0.25">
      <c r="A51" s="5">
        <v>-64</v>
      </c>
      <c r="B51" s="6">
        <v>92.052306037143524</v>
      </c>
      <c r="C51" s="6">
        <f>92.0523060371435 * $B$37 / 100</f>
        <v>92.052306037143495</v>
      </c>
      <c r="D51" s="6">
        <v>11.598386</v>
      </c>
      <c r="E51" s="7">
        <f>11.598386 * $B$37 / 100</f>
        <v>11.598386</v>
      </c>
    </row>
    <row r="52" spans="1:5" x14ac:dyDescent="0.25">
      <c r="A52" s="5">
        <v>-58</v>
      </c>
      <c r="B52" s="6">
        <v>92.905146475246482</v>
      </c>
      <c r="C52" s="6">
        <f>92.9051464752464 * $B$37 / 100</f>
        <v>92.905146475246397</v>
      </c>
      <c r="D52" s="6">
        <v>11.705842000000001</v>
      </c>
      <c r="E52" s="7">
        <f>11.7058419999999 * $B$37 / 100</f>
        <v>11.705841999999899</v>
      </c>
    </row>
    <row r="53" spans="1:5" x14ac:dyDescent="0.25">
      <c r="A53" s="5">
        <v>-51</v>
      </c>
      <c r="B53" s="6">
        <v>93.900126986366601</v>
      </c>
      <c r="C53" s="6">
        <f>93.9001269863666 * $B$37 / 100</f>
        <v>93.900126986366601</v>
      </c>
      <c r="D53" s="6">
        <v>11.83120733333333</v>
      </c>
      <c r="E53" s="7">
        <f>11.8312073333333 * $B$37 / 100</f>
        <v>11.8312073333333</v>
      </c>
    </row>
    <row r="54" spans="1:5" x14ac:dyDescent="0.25">
      <c r="A54" s="5">
        <v>-45</v>
      </c>
      <c r="B54" s="6">
        <v>94.752967424469574</v>
      </c>
      <c r="C54" s="6">
        <f>94.7529674244695 * $B$37 / 100</f>
        <v>94.752967424469503</v>
      </c>
      <c r="D54" s="6">
        <v>11.938663333333331</v>
      </c>
      <c r="E54" s="7">
        <f>11.9386633333333 * $B$37 / 100</f>
        <v>11.938663333333301</v>
      </c>
    </row>
    <row r="55" spans="1:5" x14ac:dyDescent="0.25">
      <c r="A55" s="5">
        <v>-39</v>
      </c>
      <c r="B55" s="6">
        <v>95.605807862572533</v>
      </c>
      <c r="C55" s="6">
        <f>95.6058078625725 * $B$37 / 100</f>
        <v>95.605807862572505</v>
      </c>
      <c r="D55" s="6">
        <v>12.04611933333333</v>
      </c>
      <c r="E55" s="7">
        <f>12.0461193333333 * $B$37 / 100</f>
        <v>12.0461193333333</v>
      </c>
    </row>
    <row r="56" spans="1:5" x14ac:dyDescent="0.25">
      <c r="A56" s="5">
        <v>-33</v>
      </c>
      <c r="B56" s="6">
        <v>96.458648300675506</v>
      </c>
      <c r="C56" s="6">
        <f>96.4586483006755 * $B$37 / 100</f>
        <v>96.458648300675506</v>
      </c>
      <c r="D56" s="6">
        <v>12.153575333333331</v>
      </c>
      <c r="E56" s="7">
        <f>12.1535753333333 * $B$37 / 100</f>
        <v>12.153575333333301</v>
      </c>
    </row>
    <row r="57" spans="1:5" x14ac:dyDescent="0.25">
      <c r="A57" s="5">
        <v>-26</v>
      </c>
      <c r="B57" s="6">
        <v>97.453628811795625</v>
      </c>
      <c r="C57" s="6">
        <f>97.4536288117956 * $B$37 / 100</f>
        <v>97.453628811795582</v>
      </c>
      <c r="D57" s="6">
        <v>12.278940666666671</v>
      </c>
      <c r="E57" s="7">
        <f>12.2789406666666 * $B$37 / 100</f>
        <v>12.2789406666666</v>
      </c>
    </row>
    <row r="58" spans="1:5" x14ac:dyDescent="0.25">
      <c r="A58" s="5">
        <v>-20</v>
      </c>
      <c r="B58" s="6">
        <v>98.306469249898598</v>
      </c>
      <c r="C58" s="6">
        <f>98.3064692498986 * $B$37 / 100</f>
        <v>98.306469249898598</v>
      </c>
      <c r="D58" s="6">
        <v>12.38639666666667</v>
      </c>
      <c r="E58" s="7">
        <f>12.3863966666666 * $B$37 / 100</f>
        <v>12.386396666666601</v>
      </c>
    </row>
    <row r="59" spans="1:5" x14ac:dyDescent="0.25">
      <c r="A59" s="5">
        <v>-14</v>
      </c>
      <c r="B59" s="6">
        <v>99.159309688001557</v>
      </c>
      <c r="C59" s="6">
        <f>99.1593096880015 * $B$37 / 100</f>
        <v>99.1593096880015</v>
      </c>
      <c r="D59" s="6">
        <v>12.493852666666671</v>
      </c>
      <c r="E59" s="7">
        <f>12.4938526666666 * $B$37 / 100</f>
        <v>12.493852666666601</v>
      </c>
    </row>
    <row r="60" spans="1:5" x14ac:dyDescent="0.25">
      <c r="A60" s="5">
        <v>-8</v>
      </c>
      <c r="B60" s="6">
        <v>100.0121501261045</v>
      </c>
      <c r="C60" s="6">
        <f>100.012150126104 * $B$37 / 100</f>
        <v>100.012150126104</v>
      </c>
      <c r="D60" s="6">
        <v>12.60130866666667</v>
      </c>
      <c r="E60" s="7">
        <f>12.6013086666666 * $B$37 / 100</f>
        <v>12.601308666666601</v>
      </c>
    </row>
    <row r="61" spans="1:5" x14ac:dyDescent="0.25">
      <c r="A61" s="5">
        <v>-1</v>
      </c>
      <c r="B61" s="6">
        <v>101.00713063722461</v>
      </c>
      <c r="C61" s="6">
        <f>101.007130637224 * $B$37 / 100</f>
        <v>101.00713063722399</v>
      </c>
      <c r="D61" s="6">
        <v>12.726673999999999</v>
      </c>
      <c r="E61" s="7">
        <f>12.726674 * $B$37 / 100</f>
        <v>12.726673999999997</v>
      </c>
    </row>
    <row r="62" spans="1:5" x14ac:dyDescent="0.25">
      <c r="A62" s="5">
        <v>5</v>
      </c>
      <c r="B62" s="6">
        <v>101.7991366690771</v>
      </c>
      <c r="C62" s="6">
        <f>101.799136669077 * $B$37 / 100</f>
        <v>101.799136669077</v>
      </c>
      <c r="D62" s="6">
        <v>12.826465000000001</v>
      </c>
      <c r="E62" s="7">
        <f>12.8264649999999 * $B$37 / 100</f>
        <v>12.826464999999898</v>
      </c>
    </row>
    <row r="63" spans="1:5" x14ac:dyDescent="0.25">
      <c r="A63" s="5">
        <v>11</v>
      </c>
      <c r="B63" s="6">
        <v>102.5789758196794</v>
      </c>
      <c r="C63" s="6">
        <f>102.578975819679 * $B$37 / 100</f>
        <v>102.578975819679</v>
      </c>
      <c r="D63" s="6">
        <v>12.924723</v>
      </c>
      <c r="E63" s="7">
        <f>12.9247229999999 * $B$37 / 100</f>
        <v>12.924722999999901</v>
      </c>
    </row>
    <row r="64" spans="1:5" x14ac:dyDescent="0.25">
      <c r="A64" s="5">
        <v>18</v>
      </c>
      <c r="B64" s="6">
        <v>103.48878816204871</v>
      </c>
      <c r="C64" s="6">
        <f>103.488788162048 * $B$37 / 100</f>
        <v>103.48878816204801</v>
      </c>
      <c r="D64" s="6">
        <v>13.03935733333333</v>
      </c>
      <c r="E64" s="7">
        <f>13.0393573333333 * $B$37 / 100</f>
        <v>13.039357333333301</v>
      </c>
    </row>
    <row r="65" spans="1:18" x14ac:dyDescent="0.25">
      <c r="A65" s="5">
        <v>24</v>
      </c>
      <c r="B65" s="6">
        <v>104.26862731265101</v>
      </c>
      <c r="C65" s="6">
        <f>104.268627312651 * $B$37 / 100</f>
        <v>104.26862731265101</v>
      </c>
      <c r="D65" s="6">
        <v>13.137615333333329</v>
      </c>
      <c r="E65" s="7">
        <f>13.1376153333333 * $B$37 / 100</f>
        <v>13.137615333333301</v>
      </c>
    </row>
    <row r="66" spans="1:18" x14ac:dyDescent="0.25">
      <c r="A66" s="5">
        <v>30</v>
      </c>
      <c r="B66" s="6">
        <v>105.04846646325331</v>
      </c>
      <c r="C66" s="6">
        <f>105.048466463253 * $B$37 / 100</f>
        <v>105.04846646325301</v>
      </c>
      <c r="D66" s="6">
        <v>13.23587333333333</v>
      </c>
      <c r="E66" s="7">
        <f>13.2358733333333 * $B$37 / 100</f>
        <v>13.2358733333333</v>
      </c>
    </row>
    <row r="67" spans="1:18" x14ac:dyDescent="0.25">
      <c r="A67" s="5">
        <v>36</v>
      </c>
      <c r="B67" s="6">
        <v>105.8283056138556</v>
      </c>
      <c r="C67" s="6">
        <f>105.828305613855 * $B$37 / 100</f>
        <v>105.82830561385499</v>
      </c>
      <c r="D67" s="6">
        <v>13.33413133333333</v>
      </c>
      <c r="E67" s="7">
        <f>13.3341313333333 * $B$37 / 100</f>
        <v>13.3341313333333</v>
      </c>
    </row>
    <row r="68" spans="1:18" x14ac:dyDescent="0.25">
      <c r="A68" s="5">
        <v>43</v>
      </c>
      <c r="B68" s="6">
        <v>106.738117956225</v>
      </c>
      <c r="C68" s="6">
        <f>106.738117956224 * $B$37 / 100</f>
        <v>106.738117956224</v>
      </c>
      <c r="D68" s="6">
        <v>13.44876566666667</v>
      </c>
      <c r="E68" s="7">
        <f>13.4487656666666 * $B$37 / 100</f>
        <v>13.448765666666599</v>
      </c>
    </row>
    <row r="69" spans="1:18" x14ac:dyDescent="0.25">
      <c r="A69" s="5">
        <v>49</v>
      </c>
      <c r="B69" s="6">
        <v>107.5179571068273</v>
      </c>
      <c r="C69" s="6">
        <f>107.517957106827 * $B$37 / 100</f>
        <v>107.517957106827</v>
      </c>
      <c r="D69" s="6">
        <v>13.54702366666667</v>
      </c>
      <c r="E69" s="7">
        <f>13.5470236666666 * $B$37 / 100</f>
        <v>13.5470236666666</v>
      </c>
    </row>
    <row r="70" spans="1:18" x14ac:dyDescent="0.25">
      <c r="A70" s="5">
        <v>55</v>
      </c>
      <c r="B70" s="6">
        <v>108.2977962574296</v>
      </c>
      <c r="C70" s="6">
        <f>108.297796257429 * $B$37 / 100</f>
        <v>108.297796257429</v>
      </c>
      <c r="D70" s="6">
        <v>13.645281666666669</v>
      </c>
      <c r="E70" s="7">
        <f>13.6452816666666 * $B$37 / 100</f>
        <v>13.645281666666598</v>
      </c>
    </row>
    <row r="71" spans="1:18" x14ac:dyDescent="0.25">
      <c r="A71" s="5">
        <v>61</v>
      </c>
      <c r="B71" s="6">
        <v>109.0776354080319</v>
      </c>
      <c r="C71" s="6">
        <f>109.077635408031 * $B$37 / 100</f>
        <v>109.077635408031</v>
      </c>
      <c r="D71" s="6">
        <v>13.74353966666667</v>
      </c>
      <c r="E71" s="7">
        <f>13.7435396666666 * $B$37 / 100</f>
        <v>13.743539666666599</v>
      </c>
    </row>
    <row r="72" spans="1:18" x14ac:dyDescent="0.25">
      <c r="A72" s="5">
        <v>68</v>
      </c>
      <c r="B72" s="6">
        <v>109.9874477504012</v>
      </c>
      <c r="C72" s="6">
        <f>109.987447750401 * $B$37 / 100</f>
        <v>109.987447750401</v>
      </c>
      <c r="D72" s="6">
        <v>13.858174</v>
      </c>
      <c r="E72" s="7">
        <f>13.8581739999999 * $B$37 / 100</f>
        <v>13.858173999999901</v>
      </c>
    </row>
    <row r="73" spans="1:18" x14ac:dyDescent="0.25">
      <c r="A73" s="5">
        <v>74</v>
      </c>
      <c r="B73" s="6">
        <v>110.7672869010035</v>
      </c>
      <c r="C73" s="6">
        <f>110.767286901003 * $B$37 / 100</f>
        <v>110.767286901003</v>
      </c>
      <c r="D73" s="6">
        <v>13.956432</v>
      </c>
      <c r="E73" s="7">
        <f>13.956432 * $B$37 / 100</f>
        <v>13.956432</v>
      </c>
    </row>
    <row r="74" spans="1:18" x14ac:dyDescent="0.25">
      <c r="A74" s="8">
        <v>80</v>
      </c>
      <c r="B74" s="9">
        <v>111.5471260516058</v>
      </c>
      <c r="C74" s="9">
        <f>111.547126051605 * $B$37 / 100</f>
        <v>111.54712605160501</v>
      </c>
      <c r="D74" s="9">
        <v>14.054690000000001</v>
      </c>
      <c r="E74" s="10">
        <f>14.0546899999999 * $B$37 / 100</f>
        <v>14.054689999999901</v>
      </c>
    </row>
    <row r="76" spans="1:18" ht="28.9" customHeight="1" x14ac:dyDescent="0.5">
      <c r="A76" s="1" t="s">
        <v>24</v>
      </c>
      <c r="B76" s="1"/>
    </row>
    <row r="77" spans="1:18" x14ac:dyDescent="0.25">
      <c r="A77" s="21" t="s">
        <v>25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26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27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34" ht="28.9" customHeight="1" x14ac:dyDescent="0.5">
      <c r="A81" s="1" t="s">
        <v>28</v>
      </c>
      <c r="B81" s="1"/>
    </row>
    <row r="82" spans="1:34" x14ac:dyDescent="0.25">
      <c r="A82" s="24" t="s">
        <v>29</v>
      </c>
      <c r="B82" s="25" t="s">
        <v>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6"/>
    </row>
    <row r="83" spans="1:34" x14ac:dyDescent="0.25">
      <c r="A83" s="27" t="s">
        <v>19</v>
      </c>
      <c r="B83" s="28">
        <v>4.5</v>
      </c>
      <c r="C83" s="28">
        <v>5</v>
      </c>
      <c r="D83" s="28">
        <v>5.5</v>
      </c>
      <c r="E83" s="28">
        <v>6</v>
      </c>
      <c r="F83" s="28">
        <v>6.5</v>
      </c>
      <c r="G83" s="28">
        <v>7</v>
      </c>
      <c r="H83" s="28">
        <v>7.5</v>
      </c>
      <c r="I83" s="28">
        <v>8</v>
      </c>
      <c r="J83" s="28">
        <v>8.5</v>
      </c>
      <c r="K83" s="28">
        <v>9</v>
      </c>
      <c r="L83" s="28">
        <v>9.5</v>
      </c>
      <c r="M83" s="28">
        <v>10</v>
      </c>
      <c r="N83" s="28">
        <v>10.5</v>
      </c>
      <c r="O83" s="28">
        <v>11</v>
      </c>
      <c r="P83" s="28">
        <v>11.5</v>
      </c>
      <c r="Q83" s="28">
        <v>12</v>
      </c>
      <c r="R83" s="28">
        <v>12.5</v>
      </c>
      <c r="S83" s="28">
        <v>13</v>
      </c>
      <c r="T83" s="28">
        <v>13.5</v>
      </c>
      <c r="U83" s="28">
        <v>14</v>
      </c>
      <c r="V83" s="28">
        <v>14.5</v>
      </c>
      <c r="W83" s="28">
        <v>15</v>
      </c>
      <c r="X83" s="28">
        <v>15.5</v>
      </c>
      <c r="Y83" s="28">
        <v>16</v>
      </c>
      <c r="Z83" s="28">
        <v>16.5</v>
      </c>
      <c r="AA83" s="28">
        <v>17</v>
      </c>
      <c r="AB83" s="28">
        <v>17.5</v>
      </c>
      <c r="AC83" s="28">
        <v>18</v>
      </c>
      <c r="AD83" s="28">
        <v>18.5</v>
      </c>
      <c r="AE83" s="28">
        <v>19</v>
      </c>
      <c r="AF83" s="28">
        <v>19.5</v>
      </c>
      <c r="AG83" s="28">
        <v>20</v>
      </c>
      <c r="AH83" s="29">
        <v>20.5</v>
      </c>
    </row>
    <row r="84" spans="1:34" x14ac:dyDescent="0.25">
      <c r="A84" s="30">
        <v>-120</v>
      </c>
      <c r="B84" s="31">
        <v>4.7252271819350851</v>
      </c>
      <c r="C84" s="31">
        <v>4.2700781065223916</v>
      </c>
      <c r="D84" s="31">
        <v>3.854004948181867</v>
      </c>
      <c r="E84" s="31">
        <v>3.4754223409841329</v>
      </c>
      <c r="F84" s="31">
        <v>3.132695948271198</v>
      </c>
      <c r="G84" s="31">
        <v>2.8241424626564702</v>
      </c>
      <c r="H84" s="31">
        <v>2.5480296060247292</v>
      </c>
      <c r="I84" s="31">
        <v>2.302576129532147</v>
      </c>
      <c r="J84" s="31">
        <v>2.0859518136062869</v>
      </c>
      <c r="K84" s="31">
        <v>1.8962774679460941</v>
      </c>
      <c r="L84" s="31">
        <v>1.731624931521905</v>
      </c>
      <c r="M84" s="31">
        <v>1.590017072575435</v>
      </c>
      <c r="N84" s="31">
        <v>1.4694277886197979</v>
      </c>
      <c r="O84" s="31">
        <v>1.3677820064394861</v>
      </c>
      <c r="P84" s="31">
        <v>1.282955682090378</v>
      </c>
      <c r="Q84" s="31">
        <v>1.212775800899746</v>
      </c>
      <c r="R84" s="31">
        <v>1.155020377466244</v>
      </c>
      <c r="S84" s="31">
        <v>1.1074184556599149</v>
      </c>
      <c r="T84" s="31">
        <v>1.067650108622191</v>
      </c>
      <c r="U84" s="31">
        <v>1.0333464387658859</v>
      </c>
      <c r="V84" s="31">
        <v>1.002089577775203</v>
      </c>
      <c r="W84" s="31">
        <v>0.97141268660573432</v>
      </c>
      <c r="X84" s="31">
        <v>0.9387999554844555</v>
      </c>
      <c r="Y84" s="31">
        <v>0.90168660390973598</v>
      </c>
      <c r="Z84" s="31">
        <v>0.85745888065132003</v>
      </c>
      <c r="AA84" s="31">
        <v>0.80345406375034867</v>
      </c>
      <c r="AB84" s="31">
        <v>0.73696046051934982</v>
      </c>
      <c r="AC84" s="31">
        <v>0.6552174075422309</v>
      </c>
      <c r="AD84" s="31">
        <v>0.55541527067429408</v>
      </c>
      <c r="AE84" s="31">
        <v>0.43469544504223051</v>
      </c>
      <c r="AF84" s="31">
        <v>0.29015035504410591</v>
      </c>
      <c r="AG84" s="31">
        <v>0.11882345434937849</v>
      </c>
      <c r="AH84" s="32">
        <v>-8.2290774101089426E-2</v>
      </c>
    </row>
    <row r="85" spans="1:34" x14ac:dyDescent="0.25">
      <c r="A85" s="30">
        <v>-114</v>
      </c>
      <c r="B85" s="31">
        <v>4.767246892787866</v>
      </c>
      <c r="C85" s="31">
        <v>4.3069850174360838</v>
      </c>
      <c r="D85" s="31">
        <v>3.8862835792707169</v>
      </c>
      <c r="E85" s="31">
        <v>3.503533307735573</v>
      </c>
      <c r="F85" s="31">
        <v>3.1570759615458401</v>
      </c>
      <c r="G85" s="31">
        <v>2.845204328688097</v>
      </c>
      <c r="H85" s="31">
        <v>2.5661622264203068</v>
      </c>
      <c r="I85" s="31">
        <v>2.318144501271822</v>
      </c>
      <c r="J85" s="31">
        <v>2.099297029043381</v>
      </c>
      <c r="K85" s="31">
        <v>1.907716714807107</v>
      </c>
      <c r="L85" s="31">
        <v>1.7414514929065139</v>
      </c>
      <c r="M85" s="31">
        <v>1.598500326956501</v>
      </c>
      <c r="N85" s="31">
        <v>1.4768132098433551</v>
      </c>
      <c r="O85" s="31">
        <v>1.3742911637247459</v>
      </c>
      <c r="P85" s="31">
        <v>1.288786240029737</v>
      </c>
      <c r="Q85" s="31">
        <v>1.2181015194587721</v>
      </c>
      <c r="R85" s="31">
        <v>1.159991111983687</v>
      </c>
      <c r="S85" s="31">
        <v>1.112160156847706</v>
      </c>
      <c r="T85" s="31">
        <v>1.0722648225654301</v>
      </c>
      <c r="U85" s="31">
        <v>1.037912306922862</v>
      </c>
      <c r="V85" s="31">
        <v>1.0066608369773751</v>
      </c>
      <c r="W85" s="31">
        <v>0.97601966905774518</v>
      </c>
      <c r="X85" s="31">
        <v>0.94344908876412592</v>
      </c>
      <c r="Y85" s="31">
        <v>0.90636041096805864</v>
      </c>
      <c r="Z85" s="31">
        <v>0.86211597981247534</v>
      </c>
      <c r="AA85" s="31">
        <v>0.80802916871168851</v>
      </c>
      <c r="AB85" s="31">
        <v>0.74136438035140717</v>
      </c>
      <c r="AC85" s="31">
        <v>0.65933704668871507</v>
      </c>
      <c r="AD85" s="31">
        <v>0.55911362895209971</v>
      </c>
      <c r="AE85" s="31">
        <v>0.43781161764142068</v>
      </c>
      <c r="AF85" s="31">
        <v>0.2924995325279296</v>
      </c>
      <c r="AG85" s="31">
        <v>0.12019692265426769</v>
      </c>
      <c r="AH85" s="32">
        <v>-8.2125633665549813E-2</v>
      </c>
    </row>
    <row r="86" spans="1:34" x14ac:dyDescent="0.25">
      <c r="A86" s="30">
        <v>-108</v>
      </c>
      <c r="B86" s="31">
        <v>4.8101188180282843</v>
      </c>
      <c r="C86" s="31">
        <v>4.3446348471877396</v>
      </c>
      <c r="D86" s="31">
        <v>3.9192013510416812</v>
      </c>
      <c r="E86" s="31">
        <v>3.5321851544070921</v>
      </c>
      <c r="F86" s="31">
        <v>3.1819041113723419</v>
      </c>
      <c r="G86" s="31">
        <v>2.866627105297189</v>
      </c>
      <c r="H86" s="31">
        <v>2.5845740488127729</v>
      </c>
      <c r="I86" s="31">
        <v>2.3339158838216241</v>
      </c>
      <c r="J86" s="31">
        <v>2.112774581497658</v>
      </c>
      <c r="K86" s="31">
        <v>1.919223142286179</v>
      </c>
      <c r="L86" s="31">
        <v>1.751285595903878</v>
      </c>
      <c r="M86" s="31">
        <v>1.606937001338834</v>
      </c>
      <c r="N86" s="31">
        <v>1.484103446850509</v>
      </c>
      <c r="O86" s="31">
        <v>1.3806620499697551</v>
      </c>
      <c r="P86" s="31">
        <v>1.2944409574988121</v>
      </c>
      <c r="Q86" s="31">
        <v>1.223219345511303</v>
      </c>
      <c r="R86" s="31">
        <v>1.164727419352241</v>
      </c>
      <c r="S86" s="31">
        <v>1.116646413638025</v>
      </c>
      <c r="T86" s="31">
        <v>1.076608592256443</v>
      </c>
      <c r="U86" s="31">
        <v>1.0421972483666671</v>
      </c>
      <c r="V86" s="31">
        <v>1.010946704399259</v>
      </c>
      <c r="W86" s="31">
        <v>0.98034231205616373</v>
      </c>
      <c r="X86" s="31">
        <v>0.9478204523107161</v>
      </c>
      <c r="Y86" s="31">
        <v>0.91076853540763691</v>
      </c>
      <c r="Z86" s="31">
        <v>0.86652500086303763</v>
      </c>
      <c r="AA86" s="31">
        <v>0.81237931746440573</v>
      </c>
      <c r="AB86" s="31">
        <v>0.74557198327063556</v>
      </c>
      <c r="AC86" s="31">
        <v>0.66329452561198043</v>
      </c>
      <c r="AD86" s="31">
        <v>0.56268950109010918</v>
      </c>
      <c r="AE86" s="31">
        <v>0.44085049557805611</v>
      </c>
      <c r="AF86" s="31">
        <v>0.29482212422025628</v>
      </c>
      <c r="AG86" s="31">
        <v>0.1216000314325268</v>
      </c>
      <c r="AH86" s="32">
        <v>-8.1869109097921111E-2</v>
      </c>
    </row>
    <row r="87" spans="1:34" x14ac:dyDescent="0.25">
      <c r="A87" s="30">
        <v>-101</v>
      </c>
      <c r="B87" s="31">
        <v>4.861251900920867</v>
      </c>
      <c r="C87" s="31">
        <v>4.3895369124136074</v>
      </c>
      <c r="D87" s="31">
        <v>3.9584510823996601</v>
      </c>
      <c r="E87" s="31">
        <v>3.5663333469647158</v>
      </c>
      <c r="F87" s="31">
        <v>3.2114736714658489</v>
      </c>
      <c r="G87" s="31">
        <v>2.8921130505315298</v>
      </c>
      <c r="H87" s="31">
        <v>2.6064435080616062</v>
      </c>
      <c r="I87" s="31">
        <v>2.3526080972273151</v>
      </c>
      <c r="J87" s="31">
        <v>2.1287009004712791</v>
      </c>
      <c r="K87" s="31">
        <v>1.9327670295075119</v>
      </c>
      <c r="L87" s="31">
        <v>1.762802625321412</v>
      </c>
      <c r="M87" s="31">
        <v>1.6167548581697659</v>
      </c>
      <c r="N87" s="31">
        <v>1.4925219275807491</v>
      </c>
      <c r="O87" s="31">
        <v>1.387953062353912</v>
      </c>
      <c r="P87" s="31">
        <v>1.3008485205602089</v>
      </c>
      <c r="Q87" s="31">
        <v>1.2289595895419689</v>
      </c>
      <c r="R87" s="31">
        <v>1.1699885859129151</v>
      </c>
      <c r="S87" s="31">
        <v>1.121588855558155</v>
      </c>
      <c r="T87" s="31">
        <v>1.081364773634182</v>
      </c>
      <c r="U87" s="31">
        <v>1.0468717445688791</v>
      </c>
      <c r="V87" s="31">
        <v>1.0156162020615089</v>
      </c>
      <c r="W87" s="31">
        <v>0.98505560908273337</v>
      </c>
      <c r="X87" s="31">
        <v>0.95259845787459485</v>
      </c>
      <c r="Y87" s="31">
        <v>0.91560426995051458</v>
      </c>
      <c r="Z87" s="31">
        <v>0.87138359609531624</v>
      </c>
      <c r="AA87" s="31">
        <v>0.81719801636520006</v>
      </c>
      <c r="AB87" s="31">
        <v>0.75026014008776154</v>
      </c>
      <c r="AC87" s="31">
        <v>0.66773360586196762</v>
      </c>
      <c r="AD87" s="31">
        <v>0.56673308155819069</v>
      </c>
      <c r="AE87" s="31">
        <v>0.44432426431817618</v>
      </c>
      <c r="AF87" s="31">
        <v>0.2975238805550644</v>
      </c>
      <c r="AG87" s="31">
        <v>0.1232996859533859</v>
      </c>
      <c r="AH87" s="32">
        <v>-8.1429534530951031E-2</v>
      </c>
    </row>
    <row r="88" spans="1:34" x14ac:dyDescent="0.25">
      <c r="A88" s="30">
        <v>-95</v>
      </c>
      <c r="B88" s="31">
        <v>4.9060691476388616</v>
      </c>
      <c r="C88" s="31">
        <v>4.4288941367640069</v>
      </c>
      <c r="D88" s="31">
        <v>3.9928502762438089</v>
      </c>
      <c r="E88" s="31">
        <v>3.5962525975371342</v>
      </c>
      <c r="F88" s="31">
        <v>3.2373671613742401</v>
      </c>
      <c r="G88" s="31">
        <v>2.9144110577567699</v>
      </c>
      <c r="H88" s="31">
        <v>2.6255524059577531</v>
      </c>
      <c r="I88" s="31">
        <v>2.3689103545216001</v>
      </c>
      <c r="J88" s="31">
        <v>2.1425550812641219</v>
      </c>
      <c r="K88" s="31">
        <v>1.944507793272503</v>
      </c>
      <c r="L88" s="31">
        <v>1.772740726905321</v>
      </c>
      <c r="M88" s="31">
        <v>1.625177147792543</v>
      </c>
      <c r="N88" s="31">
        <v>1.499691350835519</v>
      </c>
      <c r="O88" s="31">
        <v>1.394108660206981</v>
      </c>
      <c r="P88" s="31">
        <v>1.306205429351061</v>
      </c>
      <c r="Q88" s="31">
        <v>1.2337090409832689</v>
      </c>
      <c r="R88" s="31">
        <v>1.1742979070905</v>
      </c>
      <c r="S88" s="31">
        <v>1.125601468931045</v>
      </c>
      <c r="T88" s="31">
        <v>1.085200197034571</v>
      </c>
      <c r="U88" s="31">
        <v>1.050625591202148</v>
      </c>
      <c r="V88" s="31">
        <v>1.0193601805062109</v>
      </c>
      <c r="W88" s="31">
        <v>0.98883752329060048</v>
      </c>
      <c r="X88" s="31">
        <v>0.95644220717053463</v>
      </c>
      <c r="Y88" s="31">
        <v>0.91950984903262045</v>
      </c>
      <c r="Z88" s="31">
        <v>0.87532709503485451</v>
      </c>
      <c r="AA88" s="31">
        <v>0.82113162060661782</v>
      </c>
      <c r="AB88" s="31">
        <v>0.75411213044867764</v>
      </c>
      <c r="AC88" s="31">
        <v>0.67140835853319281</v>
      </c>
      <c r="AD88" s="31">
        <v>0.57011106810369616</v>
      </c>
      <c r="AE88" s="31">
        <v>0.44726205167512861</v>
      </c>
      <c r="AF88" s="31">
        <v>0.29985413103379982</v>
      </c>
      <c r="AG88" s="31">
        <v>0.1248311572374252</v>
      </c>
      <c r="AH88" s="32">
        <v>-8.0911989384928162E-2</v>
      </c>
    </row>
    <row r="89" spans="1:34" x14ac:dyDescent="0.25">
      <c r="A89" s="30">
        <v>-89</v>
      </c>
      <c r="B89" s="31">
        <v>4.9518284936227728</v>
      </c>
      <c r="C89" s="31">
        <v>4.4690831311187633</v>
      </c>
      <c r="D89" s="31">
        <v>4.0279764282245711</v>
      </c>
      <c r="E89" s="31">
        <v>3.626799511772246</v>
      </c>
      <c r="F89" s="31">
        <v>3.263794537865218</v>
      </c>
      <c r="G89" s="31">
        <v>2.937154691878312</v>
      </c>
      <c r="H89" s="31">
        <v>2.6450241884577328</v>
      </c>
      <c r="I89" s="31">
        <v>2.385498271521076</v>
      </c>
      <c r="J89" s="31">
        <v>2.1566232142573218</v>
      </c>
      <c r="K89" s="31">
        <v>1.9563963191268381</v>
      </c>
      <c r="L89" s="31">
        <v>1.7827659178613811</v>
      </c>
      <c r="M89" s="31">
        <v>1.6336313714640931</v>
      </c>
      <c r="N89" s="31">
        <v>1.5068430702095039</v>
      </c>
      <c r="O89" s="31">
        <v>1.400202433643531</v>
      </c>
      <c r="P89" s="31">
        <v>1.3114619105834739</v>
      </c>
      <c r="Q89" s="31">
        <v>1.238324979118022</v>
      </c>
      <c r="R89" s="31">
        <v>1.178446146607258</v>
      </c>
      <c r="S89" s="31">
        <v>1.129430949682642</v>
      </c>
      <c r="T89" s="31">
        <v>1.0888359542470261</v>
      </c>
      <c r="U89" s="31">
        <v>1.0541687554746499</v>
      </c>
      <c r="V89" s="31">
        <v>1.0228879778111351</v>
      </c>
      <c r="W89" s="31">
        <v>0.9924032749734979</v>
      </c>
      <c r="X89" s="31">
        <v>0.96007532995013256</v>
      </c>
      <c r="Y89" s="31">
        <v>0.9232158550008287</v>
      </c>
      <c r="Z89" s="31">
        <v>0.87908759165675432</v>
      </c>
      <c r="AA89" s="31">
        <v>0.8249043107204771</v>
      </c>
      <c r="AB89" s="31">
        <v>0.75783081226593729</v>
      </c>
      <c r="AC89" s="31">
        <v>0.67498292563846973</v>
      </c>
      <c r="AD89" s="31">
        <v>0.57342750945479759</v>
      </c>
      <c r="AE89" s="31">
        <v>0.45018245160303039</v>
      </c>
      <c r="AF89" s="31">
        <v>0.3022166692426565</v>
      </c>
      <c r="AG89" s="31">
        <v>0.1264501088045602</v>
      </c>
      <c r="AH89" s="32">
        <v>-8.0246254008979889E-2</v>
      </c>
    </row>
    <row r="90" spans="1:34" x14ac:dyDescent="0.25">
      <c r="A90" s="30">
        <v>-83</v>
      </c>
      <c r="B90" s="31">
        <v>4.9985570278453881</v>
      </c>
      <c r="C90" s="31">
        <v>4.5101306580153313</v>
      </c>
      <c r="D90" s="31">
        <v>4.0638559744440759</v>
      </c>
      <c r="E90" s="31">
        <v>3.6580001993368412</v>
      </c>
      <c r="F90" s="31">
        <v>3.290781584170245</v>
      </c>
      <c r="G90" s="31">
        <v>2.9603694096922828</v>
      </c>
      <c r="H90" s="31">
        <v>2.664883985922343</v>
      </c>
      <c r="I90" s="31">
        <v>2.402396652151197</v>
      </c>
      <c r="J90" s="31">
        <v>2.1709297769410041</v>
      </c>
      <c r="K90" s="31">
        <v>1.968456758125309</v>
      </c>
      <c r="L90" s="31">
        <v>1.79290202280905</v>
      </c>
      <c r="M90" s="31">
        <v>1.6421410273685439</v>
      </c>
      <c r="N90" s="31">
        <v>1.514000257451503</v>
      </c>
      <c r="O90" s="31">
        <v>1.406257227977016</v>
      </c>
      <c r="P90" s="31">
        <v>1.316640483135568</v>
      </c>
      <c r="Q90" s="31">
        <v>1.242829596389025</v>
      </c>
      <c r="R90" s="31">
        <v>1.182455170470647</v>
      </c>
      <c r="S90" s="31">
        <v>1.133098837385071</v>
      </c>
      <c r="T90" s="31">
        <v>1.09229325840833</v>
      </c>
      <c r="U90" s="31">
        <v>1.0575221240878421</v>
      </c>
      <c r="V90" s="31">
        <v>1.026220154242405</v>
      </c>
      <c r="W90" s="31">
        <v>0.9957730979622117</v>
      </c>
      <c r="X90" s="31">
        <v>0.96351773360884052</v>
      </c>
      <c r="Y90" s="31">
        <v>0.926741868815258</v>
      </c>
      <c r="Z90" s="31">
        <v>0.88268434048580979</v>
      </c>
      <c r="AA90" s="31">
        <v>0.82853501479623926</v>
      </c>
      <c r="AB90" s="31">
        <v>0.76143478719366509</v>
      </c>
      <c r="AC90" s="31">
        <v>0.67847558239660322</v>
      </c>
      <c r="AD90" s="31">
        <v>0.5767003543949587</v>
      </c>
      <c r="AE90" s="31">
        <v>0.45310308645000691</v>
      </c>
      <c r="AF90" s="31">
        <v>0.30462879109442759</v>
      </c>
      <c r="AG90" s="31">
        <v>0.1281735101322852</v>
      </c>
      <c r="AH90" s="32">
        <v>-7.9415685360983077E-2</v>
      </c>
    </row>
    <row r="91" spans="1:34" x14ac:dyDescent="0.25">
      <c r="A91" s="30">
        <v>-76</v>
      </c>
      <c r="B91" s="31">
        <v>5.0543338725666667</v>
      </c>
      <c r="C91" s="31">
        <v>4.5591393688514366</v>
      </c>
      <c r="D91" s="31">
        <v>4.1067020558582277</v>
      </c>
      <c r="E91" s="31">
        <v>3.695261267060971</v>
      </c>
      <c r="F91" s="31">
        <v>3.323007365204985</v>
      </c>
      <c r="G91" s="31">
        <v>2.9880817423069779</v>
      </c>
      <c r="H91" s="31">
        <v>2.6885768196550459</v>
      </c>
      <c r="I91" s="31">
        <v>2.422536047808665</v>
      </c>
      <c r="J91" s="31">
        <v>2.1879539065987079</v>
      </c>
      <c r="K91" s="31">
        <v>1.9827759051274261</v>
      </c>
      <c r="L91" s="31">
        <v>1.8048985817684611</v>
      </c>
      <c r="M91" s="31">
        <v>1.6521695041668429</v>
      </c>
      <c r="N91" s="31">
        <v>1.522387269238991</v>
      </c>
      <c r="O91" s="31">
        <v>1.413301503172701</v>
      </c>
      <c r="P91" s="31">
        <v>1.3226128614271671</v>
      </c>
      <c r="Q91" s="31">
        <v>1.247973028732964</v>
      </c>
      <c r="R91" s="31">
        <v>1.1869847190920551</v>
      </c>
      <c r="S91" s="31">
        <v>1.137201675777793</v>
      </c>
      <c r="T91" s="31">
        <v>1.096128671334911</v>
      </c>
      <c r="U91" s="31">
        <v>1.061221507579541</v>
      </c>
      <c r="V91" s="31">
        <v>1.0298870155991851</v>
      </c>
      <c r="W91" s="31">
        <v>0.99948305575275165</v>
      </c>
      <c r="X91" s="31">
        <v>0.96731851767051924</v>
      </c>
      <c r="Y91" s="31">
        <v>0.93065332025415937</v>
      </c>
      <c r="Z91" s="31">
        <v>0.88669841167674035</v>
      </c>
      <c r="AA91" s="31">
        <v>0.83261576938269466</v>
      </c>
      <c r="AB91" s="31">
        <v>0.76551840008786642</v>
      </c>
      <c r="AC91" s="31">
        <v>0.68247033977947336</v>
      </c>
      <c r="AD91" s="31">
        <v>0.5804866537161204</v>
      </c>
      <c r="AE91" s="31">
        <v>0.45653343642780642</v>
      </c>
      <c r="AF91" s="31">
        <v>0.30752781171590121</v>
      </c>
      <c r="AG91" s="31">
        <v>0.13033793265318749</v>
      </c>
      <c r="AH91" s="32">
        <v>-7.8217018416184558E-2</v>
      </c>
    </row>
    <row r="92" spans="1:34" x14ac:dyDescent="0.25">
      <c r="A92" s="30">
        <v>-70</v>
      </c>
      <c r="B92" s="31">
        <v>5.1032522814934698</v>
      </c>
      <c r="C92" s="31">
        <v>4.6021358965877166</v>
      </c>
      <c r="D92" s="31">
        <v>4.1443016834062334</v>
      </c>
      <c r="E92" s="31">
        <v>3.727965070796134</v>
      </c>
      <c r="F92" s="31">
        <v>3.351292516875918</v>
      </c>
      <c r="G92" s="31">
        <v>3.012401509035469</v>
      </c>
      <c r="H92" s="31">
        <v>2.7093605639360629</v>
      </c>
      <c r="I92" s="31">
        <v>2.4401892275103521</v>
      </c>
      <c r="J92" s="31">
        <v>2.2028580749623878</v>
      </c>
      <c r="K92" s="31">
        <v>1.9952887107676001</v>
      </c>
      <c r="L92" s="31">
        <v>1.815353768672811</v>
      </c>
      <c r="M92" s="31">
        <v>1.660876911696229</v>
      </c>
      <c r="N92" s="31">
        <v>1.5296328321274471</v>
      </c>
      <c r="O92" s="31">
        <v>1.419347251527443</v>
      </c>
      <c r="P92" s="31">
        <v>1.32769692072859</v>
      </c>
      <c r="Q92" s="31">
        <v>1.2523096198346371</v>
      </c>
      <c r="R92" s="31">
        <v>1.190764158220732</v>
      </c>
      <c r="S92" s="31">
        <v>1.1405903745334001</v>
      </c>
      <c r="T92" s="31">
        <v>1.0992691366905569</v>
      </c>
      <c r="U92" s="31">
        <v>1.0642323418815109</v>
      </c>
      <c r="V92" s="31">
        <v>1.032862916566945</v>
      </c>
      <c r="W92" s="31">
        <v>1.0024948164789369</v>
      </c>
      <c r="X92" s="31">
        <v>0.97041302662095574</v>
      </c>
      <c r="Y92" s="31">
        <v>0.93385356126784713</v>
      </c>
      <c r="Z92" s="31">
        <v>0.89000346396584828</v>
      </c>
      <c r="AA92" s="31">
        <v>0.83600080753258688</v>
      </c>
      <c r="AB92" s="31">
        <v>0.76893469405707204</v>
      </c>
      <c r="AC92" s="31">
        <v>0.68584525489970827</v>
      </c>
      <c r="AD92" s="31">
        <v>0.58372365069227306</v>
      </c>
      <c r="AE92" s="31">
        <v>0.45951207133793859</v>
      </c>
      <c r="AF92" s="31">
        <v>0.31010373601127761</v>
      </c>
      <c r="AG92" s="31">
        <v>0.13234289315822251</v>
      </c>
      <c r="AH92" s="32">
        <v>-7.6975179503891766E-2</v>
      </c>
    </row>
    <row r="93" spans="1:34" x14ac:dyDescent="0.25">
      <c r="A93" s="30">
        <v>-64</v>
      </c>
      <c r="B93" s="31">
        <v>5.1532215572750513</v>
      </c>
      <c r="C93" s="31">
        <v>4.6460716017699886</v>
      </c>
      <c r="D93" s="31">
        <v>4.1827343163852744</v>
      </c>
      <c r="E93" s="31">
        <v>3.761401225341193</v>
      </c>
      <c r="F93" s="31">
        <v>3.380214882129418</v>
      </c>
      <c r="G93" s="31">
        <v>3.037268869513023</v>
      </c>
      <c r="H93" s="31">
        <v>2.7306077995264491</v>
      </c>
      <c r="I93" s="31">
        <v>2.4582273134755388</v>
      </c>
      <c r="J93" s="31">
        <v>2.218074081937516</v>
      </c>
      <c r="K93" s="31">
        <v>2.0080458047609899</v>
      </c>
      <c r="L93" s="31">
        <v>1.82599121106596</v>
      </c>
      <c r="M93" s="31">
        <v>1.669710059243815</v>
      </c>
      <c r="N93" s="31">
        <v>1.5369531369573251</v>
      </c>
      <c r="O93" s="31">
        <v>1.425422261140648</v>
      </c>
      <c r="P93" s="31">
        <v>1.3327702779993309</v>
      </c>
      <c r="Q93" s="31">
        <v>1.2566010630103071</v>
      </c>
      <c r="R93" s="31">
        <v>1.1944695209218981</v>
      </c>
      <c r="S93" s="31">
        <v>1.1438815857538089</v>
      </c>
      <c r="T93" s="31">
        <v>1.1022942207971349</v>
      </c>
      <c r="U93" s="31">
        <v>1.067115418614365</v>
      </c>
      <c r="V93" s="31">
        <v>1.0357042010393509</v>
      </c>
      <c r="W93" s="31">
        <v>1.0053706191773599</v>
      </c>
      <c r="X93" s="31">
        <v>0.97337575340502935</v>
      </c>
      <c r="Y93" s="31">
        <v>0.93693171337039494</v>
      </c>
      <c r="Z93" s="31">
        <v>0.89320163799286234</v>
      </c>
      <c r="AA93" s="31">
        <v>0.83929969546324268</v>
      </c>
      <c r="AB93" s="31">
        <v>0.77229108324372286</v>
      </c>
      <c r="AC93" s="31">
        <v>0.68919202806787982</v>
      </c>
      <c r="AD93" s="31">
        <v>0.58696978594067606</v>
      </c>
      <c r="AE93" s="31">
        <v>0.46254264213846219</v>
      </c>
      <c r="AF93" s="31">
        <v>0.31277991120898913</v>
      </c>
      <c r="AG93" s="31">
        <v>0.13450193697135579</v>
      </c>
      <c r="AH93" s="32">
        <v>-7.5519907483890564E-2</v>
      </c>
    </row>
    <row r="94" spans="1:34" x14ac:dyDescent="0.25">
      <c r="A94" s="30">
        <v>-58</v>
      </c>
      <c r="B94" s="31">
        <v>5.2042661974329949</v>
      </c>
      <c r="C94" s="31">
        <v>4.690970655484513</v>
      </c>
      <c r="D94" s="31">
        <v>4.2220237994462639</v>
      </c>
      <c r="E94" s="31">
        <v>3.7955932489117208</v>
      </c>
      <c r="F94" s="31">
        <v>3.4097976527457319</v>
      </c>
      <c r="G94" s="31">
        <v>3.0627066890845449</v>
      </c>
      <c r="H94" s="31">
        <v>2.7523410653357838</v>
      </c>
      <c r="I94" s="31">
        <v>2.4766725181784701</v>
      </c>
      <c r="J94" s="31">
        <v>2.233623813563002</v>
      </c>
      <c r="K94" s="31">
        <v>2.0210687467111712</v>
      </c>
      <c r="L94" s="31">
        <v>1.8368321421161531</v>
      </c>
      <c r="M94" s="31">
        <v>1.678689853542513</v>
      </c>
      <c r="N94" s="31">
        <v>1.5443687640262029</v>
      </c>
      <c r="O94" s="31">
        <v>1.431546785874557</v>
      </c>
      <c r="P94" s="31">
        <v>1.337852860666302</v>
      </c>
      <c r="Q94" s="31">
        <v>1.26086695925155</v>
      </c>
      <c r="R94" s="31">
        <v>1.1981200817517981</v>
      </c>
      <c r="S94" s="31">
        <v>1.1470942575599341</v>
      </c>
      <c r="T94" s="31">
        <v>1.1052225453402249</v>
      </c>
      <c r="U94" s="31">
        <v>1.069889033028341</v>
      </c>
      <c r="V94" s="31">
        <v>1.0384288378313189</v>
      </c>
      <c r="W94" s="31">
        <v>1.008128106227596</v>
      </c>
      <c r="X94" s="31">
        <v>0.9762240139669931</v>
      </c>
      <c r="Y94" s="31">
        <v>0.93990476607071793</v>
      </c>
      <c r="Z94" s="31">
        <v>0.89630959683136324</v>
      </c>
      <c r="AA94" s="31">
        <v>0.84252876981290847</v>
      </c>
      <c r="AB94" s="31">
        <v>0.77560357785072509</v>
      </c>
      <c r="AC94" s="31">
        <v>0.69252634305157135</v>
      </c>
      <c r="AD94" s="31">
        <v>0.59024041679358485</v>
      </c>
      <c r="AE94" s="31">
        <v>0.46564017972629329</v>
      </c>
      <c r="AF94" s="31">
        <v>0.31557104177061129</v>
      </c>
      <c r="AG94" s="31">
        <v>0.1368294421188524</v>
      </c>
      <c r="AH94" s="32">
        <v>-7.3837150765292847E-2</v>
      </c>
    </row>
    <row r="95" spans="1:34" x14ac:dyDescent="0.25">
      <c r="A95" s="30">
        <v>-51</v>
      </c>
      <c r="B95" s="31">
        <v>5.2652092366515699</v>
      </c>
      <c r="C95" s="31">
        <v>4.7446018327726831</v>
      </c>
      <c r="D95" s="31">
        <v>4.2689754399316504</v>
      </c>
      <c r="E95" s="31">
        <v>3.836469788990641</v>
      </c>
      <c r="F95" s="31">
        <v>3.445175640083217</v>
      </c>
      <c r="G95" s="31">
        <v>3.0931347826143312</v>
      </c>
      <c r="H95" s="31">
        <v>2.7783400352603231</v>
      </c>
      <c r="I95" s="31">
        <v>2.4987352459689118</v>
      </c>
      <c r="J95" s="31">
        <v>2.252215291959212</v>
      </c>
      <c r="K95" s="31">
        <v>2.0366260797217191</v>
      </c>
      <c r="L95" s="31">
        <v>1.8497645450183171</v>
      </c>
      <c r="M95" s="31">
        <v>1.6893786528822829</v>
      </c>
      <c r="N95" s="31">
        <v>1.553167397618274</v>
      </c>
      <c r="O95" s="31">
        <v>1.438780802802329</v>
      </c>
      <c r="P95" s="31">
        <v>1.34381992128189</v>
      </c>
      <c r="Q95" s="31">
        <v>1.2658368351757729</v>
      </c>
      <c r="R95" s="31">
        <v>1.2023346558741801</v>
      </c>
      <c r="S95" s="31">
        <v>1.150767524038713</v>
      </c>
      <c r="T95" s="31">
        <v>1.1085406096023469</v>
      </c>
      <c r="U95" s="31">
        <v>1.0730101117694539</v>
      </c>
      <c r="V95" s="31">
        <v>1.041483259015785</v>
      </c>
      <c r="W95" s="31">
        <v>1.0112183090884821</v>
      </c>
      <c r="X95" s="31">
        <v>0.97942454900607845</v>
      </c>
      <c r="Y95" s="31">
        <v>0.94326229505848069</v>
      </c>
      <c r="Z95" s="31">
        <v>0.8998428928069937</v>
      </c>
      <c r="AA95" s="31">
        <v>0.84622871708431535</v>
      </c>
      <c r="AB95" s="31">
        <v>0.77943317199451634</v>
      </c>
      <c r="AC95" s="31">
        <v>0.69642069091305714</v>
      </c>
      <c r="AD95" s="31">
        <v>0.59410673648678658</v>
      </c>
      <c r="AE95" s="31">
        <v>0.46935780063395249</v>
      </c>
      <c r="AF95" s="31">
        <v>0.31899140454417207</v>
      </c>
      <c r="AG95" s="31">
        <v>0.13977609867845331</v>
      </c>
      <c r="AH95" s="32">
        <v>-7.1568537230792359E-2</v>
      </c>
    </row>
    <row r="96" spans="1:34" x14ac:dyDescent="0.25">
      <c r="A96" s="30">
        <v>-45</v>
      </c>
      <c r="B96" s="31">
        <v>5.3186649096945278</v>
      </c>
      <c r="C96" s="31">
        <v>4.7916680985220976</v>
      </c>
      <c r="D96" s="31">
        <v>4.3102002685306786</v>
      </c>
      <c r="E96" s="31">
        <v>3.8723772459556258</v>
      </c>
      <c r="F96" s="31">
        <v>3.4762658863036791</v>
      </c>
      <c r="G96" s="31">
        <v>3.119884074352969</v>
      </c>
      <c r="H96" s="31">
        <v>2.8012007241530141</v>
      </c>
      <c r="I96" s="31">
        <v>2.5181357790247092</v>
      </c>
      <c r="J96" s="31">
        <v>2.26856021156035</v>
      </c>
      <c r="K96" s="31">
        <v>2.0502960236236079</v>
      </c>
      <c r="L96" s="31">
        <v>1.8611162463495501</v>
      </c>
      <c r="M96" s="31">
        <v>1.698744940144626</v>
      </c>
      <c r="N96" s="31">
        <v>1.5608571946866741</v>
      </c>
      <c r="O96" s="31">
        <v>1.445079128924913</v>
      </c>
      <c r="P96" s="31">
        <v>1.3489878910799571</v>
      </c>
      <c r="Q96" s="31">
        <v>1.270111658643807</v>
      </c>
      <c r="R96" s="31">
        <v>1.2059296383798419</v>
      </c>
      <c r="S96" s="31">
        <v>1.153872066322843</v>
      </c>
      <c r="T96" s="31">
        <v>1.111320207778957</v>
      </c>
      <c r="U96" s="31">
        <v>1.0756063573257439</v>
      </c>
      <c r="V96" s="31">
        <v>1.0440138388121289</v>
      </c>
      <c r="W96" s="31">
        <v>1.013777005358427</v>
      </c>
      <c r="X96" s="31">
        <v>0.98208123935635472</v>
      </c>
      <c r="Y96" s="31">
        <v>0.94606295246900052</v>
      </c>
      <c r="Z96" s="31">
        <v>0.90280958563084912</v>
      </c>
      <c r="AA96" s="31">
        <v>0.8493596090477612</v>
      </c>
      <c r="AB96" s="31">
        <v>0.78270252219699454</v>
      </c>
      <c r="AC96" s="31">
        <v>0.6997788538271984</v>
      </c>
      <c r="AD96" s="31">
        <v>0.5974801619583946</v>
      </c>
      <c r="AE96" s="31">
        <v>0.47264903388199297</v>
      </c>
      <c r="AF96" s="31">
        <v>0.32207908616080971</v>
      </c>
      <c r="AG96" s="31">
        <v>0.1425149646290311</v>
      </c>
      <c r="AH96" s="32">
        <v>-6.9347655607776532E-2</v>
      </c>
    </row>
    <row r="97" spans="1:34" x14ac:dyDescent="0.25">
      <c r="A97" s="30">
        <v>-39</v>
      </c>
      <c r="B97" s="31">
        <v>5.3732694194677073</v>
      </c>
      <c r="C97" s="31">
        <v>4.839770151445725</v>
      </c>
      <c r="D97" s="31">
        <v>4.3523533521417397</v>
      </c>
      <c r="E97" s="31">
        <v>3.9091109431642779</v>
      </c>
      <c r="F97" s="31">
        <v>3.5080858753932622</v>
      </c>
      <c r="G97" s="31">
        <v>3.147272128980001</v>
      </c>
      <c r="H97" s="31">
        <v>2.8246147133471862</v>
      </c>
      <c r="I97" s="31">
        <v>2.5380096671888959</v>
      </c>
      <c r="J97" s="31">
        <v>2.2853040584706039</v>
      </c>
      <c r="K97" s="31">
        <v>2.06429598442916</v>
      </c>
      <c r="L97" s="31">
        <v>1.8727345715728061</v>
      </c>
      <c r="M97" s="31">
        <v>1.708319975681172</v>
      </c>
      <c r="N97" s="31">
        <v>1.5687033818052749</v>
      </c>
      <c r="O97" s="31">
        <v>1.451487004267515</v>
      </c>
      <c r="P97" s="31">
        <v>1.354224086661681</v>
      </c>
      <c r="Q97" s="31">
        <v>1.274418901852951</v>
      </c>
      <c r="R97" s="31">
        <v>1.2095267519778889</v>
      </c>
      <c r="S97" s="31">
        <v>1.1569539684444441</v>
      </c>
      <c r="T97" s="31">
        <v>1.114057911931954</v>
      </c>
      <c r="U97" s="31">
        <v>1.078146972391145</v>
      </c>
      <c r="V97" s="31">
        <v>1.0464805690441239</v>
      </c>
      <c r="W97" s="31">
        <v>1.0162691503843939</v>
      </c>
      <c r="X97" s="31">
        <v>0.98467419417683799</v>
      </c>
      <c r="Y97" s="31">
        <v>0.94880820745772854</v>
      </c>
      <c r="Z97" s="31">
        <v>0.90573472653472054</v>
      </c>
      <c r="AA97" s="31">
        <v>0.85246831698686865</v>
      </c>
      <c r="AB97" s="31">
        <v>0.78597457366460255</v>
      </c>
      <c r="AC97" s="31">
        <v>0.70317012068973639</v>
      </c>
      <c r="AD97" s="31">
        <v>0.60092261145548276</v>
      </c>
      <c r="AE97" s="31">
        <v>0.47605072862643671</v>
      </c>
      <c r="AF97" s="31">
        <v>0.32532418413857928</v>
      </c>
      <c r="AG97" s="31">
        <v>0.14546371919927559</v>
      </c>
      <c r="AH97" s="32">
        <v>-6.6858895712714528E-2</v>
      </c>
    </row>
    <row r="98" spans="1:34" x14ac:dyDescent="0.25">
      <c r="A98" s="30">
        <v>-33</v>
      </c>
      <c r="B98" s="31">
        <v>5.4290446720414529</v>
      </c>
      <c r="C98" s="31">
        <v>4.8889295711785863</v>
      </c>
      <c r="D98" s="31">
        <v>4.3954559439645164</v>
      </c>
      <c r="E98" s="31">
        <v>3.946691807380946</v>
      </c>
      <c r="F98" s="31">
        <v>3.540656207680978</v>
      </c>
      <c r="G98" s="31">
        <v>3.1753192203891021</v>
      </c>
      <c r="H98" s="31">
        <v>2.848601950301183</v>
      </c>
      <c r="I98" s="31">
        <v>2.558376531484484</v>
      </c>
      <c r="J98" s="31">
        <v>2.3024661272776492</v>
      </c>
      <c r="K98" s="31">
        <v>2.0786449302907108</v>
      </c>
      <c r="L98" s="31">
        <v>1.884638162405091</v>
      </c>
      <c r="M98" s="31">
        <v>1.7181220747735979</v>
      </c>
      <c r="N98" s="31">
        <v>1.5767239478204229</v>
      </c>
      <c r="O98" s="31">
        <v>1.4580220912411439</v>
      </c>
      <c r="P98" s="31">
        <v>1.3595458440027379</v>
      </c>
      <c r="Q98" s="31">
        <v>1.27877557434355</v>
      </c>
      <c r="R98" s="31">
        <v>1.213142679773328</v>
      </c>
      <c r="S98" s="31">
        <v>1.160029587073194</v>
      </c>
      <c r="T98" s="31">
        <v>1.116769752295675</v>
      </c>
      <c r="U98" s="31">
        <v>1.0806476607646649</v>
      </c>
      <c r="V98" s="31">
        <v>1.0488988270754549</v>
      </c>
      <c r="W98" s="31">
        <v>1.018709795094723</v>
      </c>
      <c r="X98" s="31">
        <v>0.98721813796053104</v>
      </c>
      <c r="Y98" s="31">
        <v>0.95151245808233265</v>
      </c>
      <c r="Z98" s="31">
        <v>0.90863238714096317</v>
      </c>
      <c r="AA98" s="31">
        <v>0.85556858608864594</v>
      </c>
      <c r="AB98" s="31">
        <v>0.78926274514899319</v>
      </c>
      <c r="AC98" s="31">
        <v>0.70660758381700628</v>
      </c>
      <c r="AD98" s="31">
        <v>0.6044468508590648</v>
      </c>
      <c r="AE98" s="31">
        <v>0.47957532431294519</v>
      </c>
      <c r="AF98" s="31">
        <v>0.32873881148781081</v>
      </c>
      <c r="AG98" s="31">
        <v>0.14863414896420399</v>
      </c>
      <c r="AH98" s="32">
        <v>-6.4090797405947697E-2</v>
      </c>
    </row>
    <row r="99" spans="1:34" x14ac:dyDescent="0.25">
      <c r="A99" s="30">
        <v>-26</v>
      </c>
      <c r="B99" s="31">
        <v>5.4956238495411984</v>
      </c>
      <c r="C99" s="31">
        <v>4.9476465468759274</v>
      </c>
      <c r="D99" s="31">
        <v>4.4469698636514563</v>
      </c>
      <c r="E99" s="31">
        <v>3.9916339281182061</v>
      </c>
      <c r="F99" s="31">
        <v>3.5796298977979841</v>
      </c>
      <c r="G99" s="31">
        <v>3.2088999594839862</v>
      </c>
      <c r="H99" s="31">
        <v>2.8773373292407891</v>
      </c>
      <c r="I99" s="31">
        <v>2.5827862524043579</v>
      </c>
      <c r="J99" s="31">
        <v>2.323042003582052</v>
      </c>
      <c r="K99" s="31">
        <v>2.0958508866526082</v>
      </c>
      <c r="L99" s="31">
        <v>1.8989102347661539</v>
      </c>
      <c r="M99" s="31">
        <v>1.7298684103442099</v>
      </c>
      <c r="N99" s="31">
        <v>1.5863248050796741</v>
      </c>
      <c r="O99" s="31">
        <v>1.465829839936833</v>
      </c>
      <c r="P99" s="31">
        <v>1.365884965151368</v>
      </c>
      <c r="Q99" s="31">
        <v>1.283942660230339</v>
      </c>
      <c r="R99" s="31">
        <v>1.2174064339521939</v>
      </c>
      <c r="S99" s="31">
        <v>1.163630824366771</v>
      </c>
      <c r="T99" s="31">
        <v>1.1199213987952981</v>
      </c>
      <c r="U99" s="31">
        <v>1.083534753830385</v>
      </c>
      <c r="V99" s="31">
        <v>1.0516785153360231</v>
      </c>
      <c r="W99" s="31">
        <v>1.021511338447602</v>
      </c>
      <c r="X99" s="31">
        <v>0.99014290757189594</v>
      </c>
      <c r="Y99" s="31">
        <v>0.95463393638705751</v>
      </c>
      <c r="Z99" s="31">
        <v>0.9119961678426336</v>
      </c>
      <c r="AA99" s="31">
        <v>0.85919237415956018</v>
      </c>
      <c r="AB99" s="31">
        <v>0.79313635683015438</v>
      </c>
      <c r="AC99" s="31">
        <v>0.71069294661812166</v>
      </c>
      <c r="AD99" s="31">
        <v>0.6086780035585575</v>
      </c>
      <c r="AE99" s="31">
        <v>0.48385841695794352</v>
      </c>
      <c r="AF99" s="31">
        <v>0.33295210539414832</v>
      </c>
      <c r="AG99" s="31">
        <v>0.15262801671642379</v>
      </c>
      <c r="AH99" s="32">
        <v>-6.0493871954593097E-2</v>
      </c>
    </row>
    <row r="100" spans="1:34" x14ac:dyDescent="0.25">
      <c r="A100" s="30">
        <v>-20</v>
      </c>
      <c r="B100" s="31">
        <v>5.5540078981350316</v>
      </c>
      <c r="C100" s="31">
        <v>4.9991679947930976</v>
      </c>
      <c r="D100" s="31">
        <v>4.492199670176042</v>
      </c>
      <c r="E100" s="31">
        <v>4.0311191479074591</v>
      </c>
      <c r="F100" s="31">
        <v>3.6138936808823341</v>
      </c>
      <c r="G100" s="31">
        <v>3.2384415512670359</v>
      </c>
      <c r="H100" s="31">
        <v>2.9026320704993269</v>
      </c>
      <c r="I100" s="31">
        <v>2.6042855792883528</v>
      </c>
      <c r="J100" s="31">
        <v>2.3411734476146409</v>
      </c>
      <c r="K100" s="31">
        <v>2.111018074730115</v>
      </c>
      <c r="L100" s="31">
        <v>1.9114928891580809</v>
      </c>
      <c r="M100" s="31">
        <v>1.740222348693232</v>
      </c>
      <c r="N100" s="31">
        <v>1.594781940401649</v>
      </c>
      <c r="O100" s="31">
        <v>1.472698180620797</v>
      </c>
      <c r="P100" s="31">
        <v>1.3714486149595291</v>
      </c>
      <c r="Q100" s="31">
        <v>1.2884618182980929</v>
      </c>
      <c r="R100" s="31">
        <v>1.2211173947881111</v>
      </c>
      <c r="S100" s="31">
        <v>1.1667459778525999</v>
      </c>
      <c r="T100" s="31">
        <v>1.1226292301859651</v>
      </c>
      <c r="U100" s="31">
        <v>1.0859998437539919</v>
      </c>
      <c r="V100" s="31">
        <v>1.054041539793855</v>
      </c>
      <c r="W100" s="31">
        <v>1.0238890688141229</v>
      </c>
      <c r="X100" s="31">
        <v>0.99262821059473938</v>
      </c>
      <c r="Y100" s="31">
        <v>0.9572957741870467</v>
      </c>
      <c r="Z100" s="31">
        <v>0.91487959791376483</v>
      </c>
      <c r="AA100" s="31">
        <v>0.86231854936901065</v>
      </c>
      <c r="AB100" s="31">
        <v>0.79650252541827715</v>
      </c>
      <c r="AC100" s="31">
        <v>0.71427245219844793</v>
      </c>
      <c r="AD100" s="31">
        <v>0.6124202851178</v>
      </c>
      <c r="AE100" s="31">
        <v>0.48768900885598759</v>
      </c>
      <c r="AF100" s="31">
        <v>0.33677263736406088</v>
      </c>
      <c r="AG100" s="31">
        <v>0.15631621386444469</v>
      </c>
      <c r="AH100" s="32">
        <v>-5.7084189149035673E-2</v>
      </c>
    </row>
    <row r="101" spans="1:34" x14ac:dyDescent="0.25">
      <c r="A101" s="30">
        <v>-14</v>
      </c>
      <c r="B101" s="31">
        <v>5.6136279556210864</v>
      </c>
      <c r="C101" s="31">
        <v>5.0518110418992732</v>
      </c>
      <c r="D101" s="31">
        <v>4.5384421835802247</v>
      </c>
      <c r="E101" s="31">
        <v>4.0715136996607182</v>
      </c>
      <c r="F101" s="31">
        <v>3.6489689384089159</v>
      </c>
      <c r="G101" s="31">
        <v>3.2687022773643721</v>
      </c>
      <c r="H101" s="31">
        <v>2.928559123338021</v>
      </c>
      <c r="I101" s="31">
        <v>2.6263359124121841</v>
      </c>
      <c r="J101" s="31">
        <v>2.3597801099405742</v>
      </c>
      <c r="K101" s="31">
        <v>2.1265902105482901</v>
      </c>
      <c r="L101" s="31">
        <v>1.9244157381318141</v>
      </c>
      <c r="M101" s="31">
        <v>1.7508572458590199</v>
      </c>
      <c r="N101" s="31">
        <v>1.6034663161691649</v>
      </c>
      <c r="O101" s="31">
        <v>1.479745560772896</v>
      </c>
      <c r="P101" s="31">
        <v>1.3771486206522461</v>
      </c>
      <c r="Q101" s="31">
        <v>1.293080166060631</v>
      </c>
      <c r="R101" s="31">
        <v>1.2248958965228609</v>
      </c>
      <c r="S101" s="31">
        <v>1.1699025408351329</v>
      </c>
      <c r="T101" s="31">
        <v>1.12535785706502</v>
      </c>
      <c r="U101" s="31">
        <v>1.088470632551497</v>
      </c>
      <c r="V101" s="31">
        <v>1.0564006839049069</v>
      </c>
      <c r="W101" s="31">
        <v>1.026258857007003</v>
      </c>
      <c r="X101" s="31">
        <v>0.99510702701091147</v>
      </c>
      <c r="Y101" s="31">
        <v>0.9599580983411411</v>
      </c>
      <c r="Z101" s="31">
        <v>0.91777600469359955</v>
      </c>
      <c r="AA101" s="31">
        <v>0.86547570903557713</v>
      </c>
      <c r="AB101" s="31">
        <v>0.79992320360574976</v>
      </c>
      <c r="AC101" s="31">
        <v>0.71793550991417465</v>
      </c>
      <c r="AD101" s="31">
        <v>0.61628067874230519</v>
      </c>
      <c r="AE101" s="31">
        <v>0.49167779014298502</v>
      </c>
      <c r="AF101" s="31">
        <v>0.34079695344042887</v>
      </c>
      <c r="AG101" s="31">
        <v>0.16025930723026069</v>
      </c>
      <c r="AH101" s="32">
        <v>-5.3362980620535773E-2</v>
      </c>
    </row>
    <row r="102" spans="1:34" x14ac:dyDescent="0.25">
      <c r="A102" s="30">
        <v>-8</v>
      </c>
      <c r="B102" s="31">
        <v>5.6745033366184892</v>
      </c>
      <c r="C102" s="31">
        <v>5.1055946763782343</v>
      </c>
      <c r="D102" s="31">
        <v>4.5857160656124538</v>
      </c>
      <c r="E102" s="31">
        <v>4.1128359186911041</v>
      </c>
      <c r="F102" s="31">
        <v>3.684873679255527</v>
      </c>
      <c r="G102" s="31">
        <v>3.2996998202184491</v>
      </c>
      <c r="H102" s="31">
        <v>2.9551358437639892</v>
      </c>
      <c r="I102" s="31">
        <v>2.6489542813476432</v>
      </c>
      <c r="J102" s="31">
        <v>2.3788786936963069</v>
      </c>
      <c r="K102" s="31">
        <v>2.14258367080825</v>
      </c>
      <c r="L102" s="31">
        <v>1.93769483195314</v>
      </c>
      <c r="M102" s="31">
        <v>1.761788825672028</v>
      </c>
      <c r="N102" s="31">
        <v>1.6123933297773481</v>
      </c>
      <c r="O102" s="31">
        <v>1.4869870513529251</v>
      </c>
      <c r="P102" s="31">
        <v>1.38299972675397</v>
      </c>
      <c r="Q102" s="31">
        <v>1.297812121607081</v>
      </c>
      <c r="R102" s="31">
        <v>1.2287560308102421</v>
      </c>
      <c r="S102" s="31">
        <v>1.173114278532825</v>
      </c>
      <c r="T102" s="31">
        <v>1.128120718215593</v>
      </c>
      <c r="U102" s="31">
        <v>1.0909602325706891</v>
      </c>
      <c r="V102" s="31">
        <v>1.058768733581642</v>
      </c>
      <c r="W102" s="31">
        <v>1.028633162503378</v>
      </c>
      <c r="X102" s="31">
        <v>0.99759148986219837</v>
      </c>
      <c r="Y102" s="31">
        <v>0.96263271545579998</v>
      </c>
      <c r="Z102" s="31">
        <v>0.92069686835326225</v>
      </c>
      <c r="AA102" s="31">
        <v>0.86867500689506016</v>
      </c>
      <c r="AB102" s="31">
        <v>0.80340921869303117</v>
      </c>
      <c r="AC102" s="31">
        <v>0.72169262063043427</v>
      </c>
      <c r="AD102" s="31">
        <v>0.62026935886188317</v>
      </c>
      <c r="AE102" s="31">
        <v>0.49583460881340902</v>
      </c>
      <c r="AF102" s="31">
        <v>0.34503457518240749</v>
      </c>
      <c r="AG102" s="31">
        <v>0.1644664919376648</v>
      </c>
      <c r="AH102" s="32">
        <v>-4.9321377680639593E-2</v>
      </c>
    </row>
    <row r="103" spans="1:34" x14ac:dyDescent="0.25">
      <c r="A103" s="30">
        <v>-1</v>
      </c>
      <c r="B103" s="31">
        <v>5.7471361072985268</v>
      </c>
      <c r="C103" s="31">
        <v>5.1698082935570877</v>
      </c>
      <c r="D103" s="31">
        <v>4.6421964957465294</v>
      </c>
      <c r="E103" s="31">
        <v>4.1622412395055166</v>
      </c>
      <c r="F103" s="31">
        <v>3.7278340797440932</v>
      </c>
      <c r="G103" s="31">
        <v>3.336817600643696</v>
      </c>
      <c r="H103" s="31">
        <v>2.9869854156571538</v>
      </c>
      <c r="I103" s="31">
        <v>2.6760821675086728</v>
      </c>
      <c r="J103" s="31">
        <v>2.4018035281938479</v>
      </c>
      <c r="K103" s="31">
        <v>2.161796198979669</v>
      </c>
      <c r="L103" s="31">
        <v>1.953657910404502</v>
      </c>
      <c r="M103" s="31">
        <v>1.77493742227811</v>
      </c>
      <c r="N103" s="31">
        <v>1.623134523681635</v>
      </c>
      <c r="O103" s="31">
        <v>1.49570003296761</v>
      </c>
      <c r="P103" s="31">
        <v>1.3900357977599529</v>
      </c>
      <c r="Q103" s="31">
        <v>1.303494694953973</v>
      </c>
      <c r="R103" s="31">
        <v>1.2333806307163551</v>
      </c>
      <c r="S103" s="31">
        <v>1.17694854048519</v>
      </c>
      <c r="T103" s="31">
        <v>1.131404388969939</v>
      </c>
      <c r="U103" s="31">
        <v>1.093905170151459</v>
      </c>
      <c r="V103" s="31">
        <v>1.0615589072819871</v>
      </c>
      <c r="W103" s="31">
        <v>1.0314246528851521</v>
      </c>
      <c r="X103" s="31">
        <v>1.000512488755968</v>
      </c>
      <c r="Y103" s="31">
        <v>0.96578352596083905</v>
      </c>
      <c r="Z103" s="31">
        <v>0.92414990483755544</v>
      </c>
      <c r="AA103" s="31">
        <v>0.87247479499528957</v>
      </c>
      <c r="AB103" s="31">
        <v>0.8075723953146019</v>
      </c>
      <c r="AC103" s="31">
        <v>0.72620793394744876</v>
      </c>
      <c r="AD103" s="31">
        <v>0.62509766831715874</v>
      </c>
      <c r="AE103" s="31">
        <v>0.50090888511846299</v>
      </c>
      <c r="AF103" s="31">
        <v>0.35025990031747439</v>
      </c>
      <c r="AG103" s="31">
        <v>0.16972005915167729</v>
      </c>
      <c r="AH103" s="32">
        <v>-4.4190263870030229E-2</v>
      </c>
    </row>
    <row r="104" spans="1:34" x14ac:dyDescent="0.25">
      <c r="A104" s="30">
        <v>5</v>
      </c>
      <c r="B104" s="31">
        <v>5.8107946524053169</v>
      </c>
      <c r="C104" s="31">
        <v>5.2261253773240162</v>
      </c>
      <c r="D104" s="31">
        <v>4.6917660665985776</v>
      </c>
      <c r="E104" s="31">
        <v>4.205633341240846</v>
      </c>
      <c r="F104" s="31">
        <v>3.7655948515340421</v>
      </c>
      <c r="G104" s="31">
        <v>3.3694692770327861</v>
      </c>
      <c r="H104" s="31">
        <v>3.0150263265630781</v>
      </c>
      <c r="I104" s="31">
        <v>2.6999867382223051</v>
      </c>
      <c r="J104" s="31">
        <v>2.4220222793792452</v>
      </c>
      <c r="K104" s="31">
        <v>2.1787557466740579</v>
      </c>
      <c r="L104" s="31">
        <v>1.967760966018296</v>
      </c>
      <c r="M104" s="31">
        <v>1.7865627925948939</v>
      </c>
      <c r="N104" s="31">
        <v>1.6326371108581781</v>
      </c>
      <c r="O104" s="31">
        <v>1.503410834533853</v>
      </c>
      <c r="P104" s="31">
        <v>1.3962619066190221</v>
      </c>
      <c r="Q104" s="31">
        <v>1.3085192993821659</v>
      </c>
      <c r="R104" s="31">
        <v>1.237463014363158</v>
      </c>
      <c r="S104" s="31">
        <v>1.180324082373255</v>
      </c>
      <c r="T104" s="31">
        <v>1.1342845634951031</v>
      </c>
      <c r="U104" s="31">
        <v>1.096477547082741</v>
      </c>
      <c r="V104" s="31">
        <v>1.0639871517615751</v>
      </c>
      <c r="W104" s="31">
        <v>1.0338485254284191</v>
      </c>
      <c r="X104" s="31">
        <v>1.003047845251466</v>
      </c>
      <c r="Y104" s="31">
        <v>0.96852231767029684</v>
      </c>
      <c r="Z104" s="31">
        <v>0.92716017839587261</v>
      </c>
      <c r="AA104" s="31">
        <v>0.87580069241055547</v>
      </c>
      <c r="AB104" s="31">
        <v>0.81123415396807885</v>
      </c>
      <c r="AC104" s="31">
        <v>0.73020188659358065</v>
      </c>
      <c r="AD104" s="31">
        <v>0.6293962430835659</v>
      </c>
      <c r="AE104" s="31">
        <v>0.50546060550594341</v>
      </c>
      <c r="AF104" s="31">
        <v>0.35498938519999512</v>
      </c>
      <c r="AG104" s="31">
        <v>0.17452802277640869</v>
      </c>
      <c r="AH104" s="32">
        <v>-3.9427011882759537E-2</v>
      </c>
    </row>
    <row r="105" spans="1:34" x14ac:dyDescent="0.25">
      <c r="A105" s="30">
        <v>11</v>
      </c>
      <c r="B105" s="31">
        <v>5.8757655808528986</v>
      </c>
      <c r="C105" s="31">
        <v>5.2836390745812913</v>
      </c>
      <c r="D105" s="31">
        <v>4.7424219984843461</v>
      </c>
      <c r="E105" s="31">
        <v>4.2500070689470846</v>
      </c>
      <c r="F105" s="31">
        <v>3.8042380316259128</v>
      </c>
      <c r="G105" s="31">
        <v>3.4029096614486218</v>
      </c>
      <c r="H105" s="31">
        <v>3.043767762614396</v>
      </c>
      <c r="I105" s="31">
        <v>2.7245091685937961</v>
      </c>
      <c r="J105" s="31">
        <v>2.4427817421287799</v>
      </c>
      <c r="K105" s="31">
        <v>2.1961843752326868</v>
      </c>
      <c r="L105" s="31">
        <v>1.982266989190246</v>
      </c>
      <c r="M105" s="31">
        <v>1.7985305345575719</v>
      </c>
      <c r="N105" s="31">
        <v>1.6424269911621701</v>
      </c>
      <c r="O105" s="31">
        <v>1.51135936810292</v>
      </c>
      <c r="P105" s="31">
        <v>1.402681703750104</v>
      </c>
      <c r="Q105" s="31">
        <v>1.313699065745388</v>
      </c>
      <c r="R105" s="31">
        <v>1.241667551001812</v>
      </c>
      <c r="S105" s="31">
        <v>1.1837942857038211</v>
      </c>
      <c r="T105" s="31">
        <v>1.1372374253072359</v>
      </c>
      <c r="U105" s="31">
        <v>1.0991061545392711</v>
      </c>
      <c r="V105" s="31">
        <v>1.0664606873985161</v>
      </c>
      <c r="W105" s="31">
        <v>1.0363122671549581</v>
      </c>
      <c r="X105" s="31">
        <v>1.005623166349974</v>
      </c>
      <c r="Y105" s="31">
        <v>0.97130668679631771</v>
      </c>
      <c r="Z105" s="31">
        <v>0.93022715957813562</v>
      </c>
      <c r="AA105" s="31">
        <v>0.87919994505096166</v>
      </c>
      <c r="AB105" s="31">
        <v>0.8149914328417095</v>
      </c>
      <c r="AC105" s="31">
        <v>0.73431904184869745</v>
      </c>
      <c r="AD105" s="31">
        <v>0.63385122024160334</v>
      </c>
      <c r="AE105" s="31">
        <v>0.51020744546152141</v>
      </c>
      <c r="AF105" s="31">
        <v>0.35995822422090118</v>
      </c>
      <c r="AG105" s="31">
        <v>0.1796250925036259</v>
      </c>
      <c r="AH105" s="32">
        <v>-3.4319384435084657E-2</v>
      </c>
    </row>
    <row r="106" spans="1:34" x14ac:dyDescent="0.25">
      <c r="A106" s="30">
        <v>18</v>
      </c>
      <c r="B106" s="31">
        <v>5.9532459799856738</v>
      </c>
      <c r="C106" s="31">
        <v>5.3522726149320672</v>
      </c>
      <c r="D106" s="31">
        <v>4.8029150302144696</v>
      </c>
      <c r="E106" s="31">
        <v>4.303038053486608</v>
      </c>
      <c r="F106" s="31">
        <v>3.850457541673594</v>
      </c>
      <c r="G106" s="31">
        <v>3.442940380971931</v>
      </c>
      <c r="H106" s="31">
        <v>3.078204486849506</v>
      </c>
      <c r="I106" s="31">
        <v>2.7539188040455951</v>
      </c>
      <c r="J106" s="31">
        <v>2.46770330657086</v>
      </c>
      <c r="K106" s="31">
        <v>2.2171289977073472</v>
      </c>
      <c r="L106" s="31">
        <v>1.9997179100084941</v>
      </c>
      <c r="M106" s="31">
        <v>1.8129431052991269</v>
      </c>
      <c r="N106" s="31">
        <v>1.654228674675452</v>
      </c>
      <c r="O106" s="31">
        <v>1.5209497385050661</v>
      </c>
      <c r="P106" s="31">
        <v>1.4104324464269551</v>
      </c>
      <c r="Q106" s="31">
        <v>1.319953977351489</v>
      </c>
      <c r="R106" s="31">
        <v>1.2467425394604239</v>
      </c>
      <c r="S106" s="31">
        <v>1.1879773702069081</v>
      </c>
      <c r="T106" s="31">
        <v>1.140788736315471</v>
      </c>
      <c r="U106" s="31">
        <v>1.1022579337820331</v>
      </c>
      <c r="V106" s="31">
        <v>1.069417287873897</v>
      </c>
      <c r="W106" s="31">
        <v>1.039250153129756</v>
      </c>
      <c r="X106" s="31">
        <v>1.008690913359694</v>
      </c>
      <c r="Y106" s="31">
        <v>0.97462498164517231</v>
      </c>
      <c r="Z106" s="31">
        <v>0.93388880033904742</v>
      </c>
      <c r="AA106" s="31">
        <v>0.88326984106555695</v>
      </c>
      <c r="AB106" s="31">
        <v>0.81950660472033587</v>
      </c>
      <c r="AC106" s="31">
        <v>0.73928862147038588</v>
      </c>
      <c r="AD106" s="31">
        <v>0.63925645075411686</v>
      </c>
      <c r="AE106" s="31">
        <v>0.51600168128131718</v>
      </c>
      <c r="AF106" s="31">
        <v>0.36606693103316451</v>
      </c>
      <c r="AG106" s="31">
        <v>0.18594584726221619</v>
      </c>
      <c r="AH106" s="32">
        <v>-2.791689350757132E-2</v>
      </c>
    </row>
    <row r="107" spans="1:34" x14ac:dyDescent="0.25">
      <c r="A107" s="30">
        <v>24</v>
      </c>
      <c r="B107" s="31">
        <v>6.0211169456838984</v>
      </c>
      <c r="C107" s="31">
        <v>5.4124343949094724</v>
      </c>
      <c r="D107" s="31">
        <v>4.8559790446431279</v>
      </c>
      <c r="E107" s="31">
        <v>4.3495918179117723</v>
      </c>
      <c r="F107" s="31">
        <v>3.891064667013695</v>
      </c>
      <c r="G107" s="31">
        <v>3.4781405735185769</v>
      </c>
      <c r="H107" s="31">
        <v>3.1085135482674859</v>
      </c>
      <c r="I107" s="31">
        <v>2.7798286313728728</v>
      </c>
      <c r="J107" s="31">
        <v>2.4896818922185808</v>
      </c>
      <c r="K107" s="31">
        <v>2.2356204294598339</v>
      </c>
      <c r="L107" s="31">
        <v>2.0151423710232499</v>
      </c>
      <c r="M107" s="31">
        <v>1.825696874106828</v>
      </c>
      <c r="N107" s="31">
        <v>1.664684125179958</v>
      </c>
      <c r="O107" s="31">
        <v>1.529455339983413</v>
      </c>
      <c r="P107" s="31">
        <v>1.4173127635293561</v>
      </c>
      <c r="Q107" s="31">
        <v>1.3255096701013369</v>
      </c>
      <c r="R107" s="31">
        <v>1.25125036325429</v>
      </c>
      <c r="S107" s="31">
        <v>1.191690175814542</v>
      </c>
      <c r="T107" s="31">
        <v>1.143935469879797</v>
      </c>
      <c r="U107" s="31">
        <v>1.105043636819165</v>
      </c>
      <c r="V107" s="31">
        <v>1.072023097273114</v>
      </c>
      <c r="W107" s="31">
        <v>1.041833301153525</v>
      </c>
      <c r="X107" s="31">
        <v>1.0113847276436521</v>
      </c>
      <c r="Y107" s="31">
        <v>0.97753888519814069</v>
      </c>
      <c r="Z107" s="31">
        <v>0.93710831154301866</v>
      </c>
      <c r="AA107" s="31">
        <v>0.88685657367571458</v>
      </c>
      <c r="AB107" s="31">
        <v>0.82349826786502978</v>
      </c>
      <c r="AC107" s="31">
        <v>0.74369901965115381</v>
      </c>
      <c r="AD107" s="31">
        <v>0.64407548384567215</v>
      </c>
      <c r="AE107" s="31">
        <v>0.52119534453154004</v>
      </c>
      <c r="AF107" s="31">
        <v>0.37157731506312891</v>
      </c>
      <c r="AG107" s="31">
        <v>0.19169113806617061</v>
      </c>
      <c r="AH107" s="32">
        <v>-2.2042414562209341E-2</v>
      </c>
    </row>
    <row r="108" spans="1:34" x14ac:dyDescent="0.25">
      <c r="A108" s="30">
        <v>30</v>
      </c>
      <c r="B108" s="31">
        <v>6.0903511177930856</v>
      </c>
      <c r="C108" s="31">
        <v>5.4738425777355051</v>
      </c>
      <c r="D108" s="31">
        <v>4.9101781757519021</v>
      </c>
      <c r="E108" s="31">
        <v>4.3971749302423504</v>
      </c>
      <c r="F108" s="31">
        <v>3.9326008888783299</v>
      </c>
      <c r="G108" s="31">
        <v>3.5141751286026959</v>
      </c>
      <c r="H108" s="31">
        <v>3.139567755629697</v>
      </c>
      <c r="I108" s="31">
        <v>2.8063999054449589</v>
      </c>
      <c r="J108" s="31">
        <v>2.512243742805504</v>
      </c>
      <c r="K108" s="31">
        <v>2.2546224617397348</v>
      </c>
      <c r="L108" s="31">
        <v>2.0310102855474481</v>
      </c>
      <c r="M108" s="31">
        <v>1.8388324667998199</v>
      </c>
      <c r="N108" s="31">
        <v>1.675465287339422</v>
      </c>
      <c r="O108" s="31">
        <v>1.5382360582802019</v>
      </c>
      <c r="P108" s="31">
        <v>1.424423120007505</v>
      </c>
      <c r="Q108" s="31">
        <v>1.331255842178056</v>
      </c>
      <c r="R108" s="31">
        <v>1.255914623719969</v>
      </c>
      <c r="S108" s="31">
        <v>1.1955308928327459</v>
      </c>
      <c r="T108" s="31">
        <v>1.1471871069872741</v>
      </c>
      <c r="U108" s="31">
        <v>1.1079167529258329</v>
      </c>
      <c r="V108" s="31">
        <v>1.074704346662088</v>
      </c>
      <c r="W108" s="31">
        <v>1.0444854334810789</v>
      </c>
      <c r="X108" s="31">
        <v>1.0141465879392479</v>
      </c>
      <c r="Y108" s="31">
        <v>0.9805254138644125</v>
      </c>
      <c r="Z108" s="31">
        <v>0.94041054435578997</v>
      </c>
      <c r="AA108" s="31">
        <v>0.89054164178397943</v>
      </c>
      <c r="AB108" s="31">
        <v>0.82760939779095377</v>
      </c>
      <c r="AC108" s="31">
        <v>0.74825553329009065</v>
      </c>
      <c r="AD108" s="31">
        <v>0.64907279846615606</v>
      </c>
      <c r="AE108" s="31">
        <v>0.52660497277527629</v>
      </c>
      <c r="AF108" s="31">
        <v>0.37734686494500119</v>
      </c>
      <c r="AG108" s="31">
        <v>0.1977443129742458</v>
      </c>
      <c r="AH108" s="32">
        <v>-1.5805815866686501E-2</v>
      </c>
    </row>
    <row r="109" spans="1:34" x14ac:dyDescent="0.25">
      <c r="A109" s="30">
        <v>36</v>
      </c>
      <c r="B109" s="31">
        <v>6.1609632499782148</v>
      </c>
      <c r="C109" s="31">
        <v>5.5365115906398117</v>
      </c>
      <c r="D109" s="31">
        <v>4.9655265243350906</v>
      </c>
      <c r="E109" s="31">
        <v>4.4458011648373184</v>
      </c>
      <c r="F109" s="31">
        <v>3.9750796551911418</v>
      </c>
      <c r="G109" s="31">
        <v>3.551057167712599</v>
      </c>
      <c r="H109" s="31">
        <v>3.1713799039891151</v>
      </c>
      <c r="I109" s="31">
        <v>2.8336450948794929</v>
      </c>
      <c r="J109" s="31">
        <v>2.535401000513934</v>
      </c>
      <c r="K109" s="31">
        <v>2.2741469102940242</v>
      </c>
      <c r="L109" s="31">
        <v>2.0473331428927302</v>
      </c>
      <c r="M109" s="31">
        <v>1.852361046254414</v>
      </c>
      <c r="N109" s="31">
        <v>1.6865829975948221</v>
      </c>
      <c r="O109" s="31">
        <v>1.5473024034010781</v>
      </c>
      <c r="P109" s="31">
        <v>1.4317736994317081</v>
      </c>
      <c r="Q109" s="31">
        <v>1.337202350716618</v>
      </c>
      <c r="R109" s="31">
        <v>1.260744851557098</v>
      </c>
      <c r="S109" s="31">
        <v>1.199508725525827</v>
      </c>
      <c r="T109" s="31">
        <v>1.1505525254668729</v>
      </c>
      <c r="U109" s="31">
        <v>1.1108858334956959</v>
      </c>
      <c r="V109" s="31">
        <v>1.077469260999127</v>
      </c>
      <c r="W109" s="31">
        <v>1.047214448635398</v>
      </c>
      <c r="X109" s="31">
        <v>1.0169840663341221</v>
      </c>
      <c r="Y109" s="31">
        <v>0.98359181329630496</v>
      </c>
      <c r="Z109" s="31">
        <v>0.94380241799432996</v>
      </c>
      <c r="AA109" s="31">
        <v>0.89433163817198036</v>
      </c>
      <c r="AB109" s="31">
        <v>0.83184626084440694</v>
      </c>
      <c r="AC109" s="31">
        <v>0.75296410229817456</v>
      </c>
      <c r="AD109" s="31">
        <v>0.65425400809120449</v>
      </c>
      <c r="AE109" s="31">
        <v>0.53223585305282506</v>
      </c>
      <c r="AF109" s="31">
        <v>0.38338054128375743</v>
      </c>
      <c r="AG109" s="31">
        <v>0.20411000615608019</v>
      </c>
      <c r="AH109" s="32">
        <v>-9.2027896867090675E-3</v>
      </c>
    </row>
    <row r="110" spans="1:34" x14ac:dyDescent="0.25">
      <c r="A110" s="30">
        <v>43</v>
      </c>
      <c r="B110" s="31">
        <v>6.2451044779104912</v>
      </c>
      <c r="C110" s="31">
        <v>5.6112373712761929</v>
      </c>
      <c r="D110" s="31">
        <v>5.0315700285013234</v>
      </c>
      <c r="E110" s="31">
        <v>4.5038676746278421</v>
      </c>
      <c r="F110" s="31">
        <v>4.0258465639691128</v>
      </c>
      <c r="G110" s="31">
        <v>3.5951739801098799</v>
      </c>
      <c r="H110" s="31">
        <v>3.2094682359062752</v>
      </c>
      <c r="I110" s="31">
        <v>2.8662986734858129</v>
      </c>
      <c r="J110" s="31">
        <v>2.5631856642474031</v>
      </c>
      <c r="K110" s="31">
        <v>2.2976006088613339</v>
      </c>
      <c r="L110" s="31">
        <v>2.0669659372692881</v>
      </c>
      <c r="M110" s="31">
        <v>1.868655108684327</v>
      </c>
      <c r="N110" s="31">
        <v>1.699992611590911</v>
      </c>
      <c r="O110" s="31">
        <v>1.5582539637448729</v>
      </c>
      <c r="P110" s="31">
        <v>1.4406657121734441</v>
      </c>
      <c r="Q110" s="31">
        <v>1.3444054331752351</v>
      </c>
      <c r="R110" s="31">
        <v>1.2666017323202481</v>
      </c>
      <c r="S110" s="31">
        <v>1.204334244449875</v>
      </c>
      <c r="T110" s="31">
        <v>1.1546336336768821</v>
      </c>
      <c r="U110" s="31">
        <v>1.1144815933854431</v>
      </c>
      <c r="V110" s="31">
        <v>1.080810846231095</v>
      </c>
      <c r="W110" s="31">
        <v>1.0505051441407831</v>
      </c>
      <c r="X110" s="31">
        <v>1.020399268312822</v>
      </c>
      <c r="Y110" s="31">
        <v>0.98727902921692801</v>
      </c>
      <c r="Z110" s="31">
        <v>0.94788126659419258</v>
      </c>
      <c r="AA110" s="31">
        <v>0.89889384945710493</v>
      </c>
      <c r="AB110" s="31">
        <v>0.83695567608953181</v>
      </c>
      <c r="AC110" s="31">
        <v>0.7586566740467271</v>
      </c>
      <c r="AD110" s="31">
        <v>0.66053780015534858</v>
      </c>
      <c r="AE110" s="31">
        <v>0.5390910405134125</v>
      </c>
      <c r="AF110" s="31">
        <v>0.39075941049035151</v>
      </c>
      <c r="AG110" s="31">
        <v>0.21193695472695331</v>
      </c>
      <c r="AH110" s="32">
        <v>-1.03125286456951E-3</v>
      </c>
    </row>
    <row r="111" spans="1:34" x14ac:dyDescent="0.25">
      <c r="A111" s="30">
        <v>49</v>
      </c>
      <c r="B111" s="31">
        <v>6.318749840155002</v>
      </c>
      <c r="C111" s="31">
        <v>5.6766847127237172</v>
      </c>
      <c r="D111" s="31">
        <v>5.0894537584648472</v>
      </c>
      <c r="E111" s="31">
        <v>4.554798297793532</v>
      </c>
      <c r="F111" s="31">
        <v>4.0704106803963036</v>
      </c>
      <c r="G111" s="31">
        <v>3.6339342852310939</v>
      </c>
      <c r="H111" s="31">
        <v>3.2429635205272098</v>
      </c>
      <c r="I111" s="31">
        <v>2.8950438237853429</v>
      </c>
      <c r="J111" s="31">
        <v>2.587671661777581</v>
      </c>
      <c r="K111" s="31">
        <v>2.3182945305473961</v>
      </c>
      <c r="L111" s="31">
        <v>2.0843109554096388</v>
      </c>
      <c r="M111" s="31">
        <v>1.883070490950562</v>
      </c>
      <c r="N111" s="31">
        <v>1.7118737210277939</v>
      </c>
      <c r="O111" s="31">
        <v>1.5679722587703491</v>
      </c>
      <c r="P111" s="31">
        <v>1.4485687465786401</v>
      </c>
      <c r="Q111" s="31">
        <v>1.3508168561244529</v>
      </c>
      <c r="R111" s="31">
        <v>1.2718212883509681</v>
      </c>
      <c r="S111" s="31">
        <v>1.2086377734727569</v>
      </c>
      <c r="T111" s="31">
        <v>1.1582730709757629</v>
      </c>
      <c r="U111" s="31">
        <v>1.117684969617339</v>
      </c>
      <c r="V111" s="31">
        <v>1.0837822874261991</v>
      </c>
      <c r="W111" s="31">
        <v>1.053424871702467</v>
      </c>
      <c r="X111" s="31">
        <v>1.023423599017643</v>
      </c>
      <c r="Y111" s="31">
        <v>0.9905403752146118</v>
      </c>
      <c r="Z111" s="31">
        <v>0.95148813540764654</v>
      </c>
      <c r="AA111" s="31">
        <v>0.9029308439824123</v>
      </c>
      <c r="AB111" s="31">
        <v>0.84148349459596161</v>
      </c>
      <c r="AC111" s="31">
        <v>0.76371211017672347</v>
      </c>
      <c r="AD111" s="31">
        <v>0.66613374292452598</v>
      </c>
      <c r="AE111" s="31">
        <v>0.5452164743105713</v>
      </c>
      <c r="AF111" s="31">
        <v>0.39737941507747099</v>
      </c>
      <c r="AG111" s="31">
        <v>0.21899270523919689</v>
      </c>
      <c r="AH111" s="32">
        <v>6.3775140811248559E-3</v>
      </c>
    </row>
    <row r="112" spans="1:34" x14ac:dyDescent="0.25">
      <c r="A112" s="30">
        <v>55</v>
      </c>
      <c r="B112" s="31">
        <v>6.393815779283412</v>
      </c>
      <c r="C112" s="31">
        <v>5.7434344673455886</v>
      </c>
      <c r="D112" s="31">
        <v>5.1485272552869787</v>
      </c>
      <c r="E112" s="31">
        <v>4.6068115588959051</v>
      </c>
      <c r="F112" s="31">
        <v>4.115955823232083</v>
      </c>
      <c r="G112" s="31">
        <v>3.6735795226266119</v>
      </c>
      <c r="H112" s="31">
        <v>3.2772531606819801</v>
      </c>
      <c r="I112" s="31">
        <v>2.9244982702720641</v>
      </c>
      <c r="J112" s="31">
        <v>2.612787413542125</v>
      </c>
      <c r="K112" s="31">
        <v>2.339544181908809</v>
      </c>
      <c r="L112" s="31">
        <v>2.102143196060156</v>
      </c>
      <c r="M112" s="31">
        <v>1.897910105955585</v>
      </c>
      <c r="N112" s="31">
        <v>1.724121590825912</v>
      </c>
      <c r="O112" s="31">
        <v>1.578005359173327</v>
      </c>
      <c r="P112" s="31">
        <v>1.456740148771416</v>
      </c>
      <c r="Q112" s="31">
        <v>1.357455726665153</v>
      </c>
      <c r="R112" s="31">
        <v>1.27723288917089</v>
      </c>
      <c r="S112" s="31">
        <v>1.2131034618763721</v>
      </c>
      <c r="T112" s="31">
        <v>1.1620502996407369</v>
      </c>
      <c r="U112" s="31">
        <v>1.1210072865945011</v>
      </c>
      <c r="V112" s="31">
        <v>1.086859336139564</v>
      </c>
      <c r="W112" s="31">
        <v>1.0564423909492251</v>
      </c>
      <c r="X112" s="31">
        <v>1.0265434229681609</v>
      </c>
      <c r="Y112" s="31">
        <v>0.99390043341243817</v>
      </c>
      <c r="Z112" s="31">
        <v>0.95520245276950466</v>
      </c>
      <c r="AA112" s="31">
        <v>0.9070895407982158</v>
      </c>
      <c r="AB112" s="31">
        <v>0.84615278652878601</v>
      </c>
      <c r="AC112" s="31">
        <v>0.76893430826283471</v>
      </c>
      <c r="AD112" s="31">
        <v>0.67192725357335659</v>
      </c>
      <c r="AE112" s="31">
        <v>0.55157579930474687</v>
      </c>
      <c r="AF112" s="31">
        <v>0.40427515157277683</v>
      </c>
      <c r="AG112" s="31">
        <v>0.2263715457646196</v>
      </c>
      <c r="AH112" s="32">
        <v>1.4162246538811381E-2</v>
      </c>
    </row>
    <row r="113" spans="1:34" x14ac:dyDescent="0.25">
      <c r="A113" s="30">
        <v>61</v>
      </c>
      <c r="B113" s="31">
        <v>6.4703144575094633</v>
      </c>
      <c r="C113" s="31">
        <v>5.8114984709202124</v>
      </c>
      <c r="D113" s="31">
        <v>5.2088020283107932</v>
      </c>
      <c r="E113" s="31">
        <v>4.6599186408427071</v>
      </c>
      <c r="F113" s="31">
        <v>4.1624928489488529</v>
      </c>
      <c r="G113" s="31">
        <v>3.714120222333503</v>
      </c>
      <c r="H113" s="31">
        <v>3.3123473599723292</v>
      </c>
      <c r="I113" s="31">
        <v>2.954671890112381</v>
      </c>
      <c r="J113" s="31">
        <v>2.6385424702721001</v>
      </c>
      <c r="K113" s="31">
        <v>2.361358787241314</v>
      </c>
      <c r="L113" s="31">
        <v>2.1204715570812369</v>
      </c>
      <c r="M113" s="31">
        <v>1.9131825251244701</v>
      </c>
      <c r="N113" s="31">
        <v>1.7367444659750031</v>
      </c>
      <c r="O113" s="31">
        <v>1.588361183508207</v>
      </c>
      <c r="P113" s="31">
        <v>1.4651875108708441</v>
      </c>
      <c r="Q113" s="31">
        <v>1.3643293104810701</v>
      </c>
      <c r="R113" s="31">
        <v>1.282843474028414</v>
      </c>
      <c r="S113" s="31">
        <v>1.2177379224738021</v>
      </c>
      <c r="T113" s="31">
        <v>1.165971606049538</v>
      </c>
      <c r="U113" s="31">
        <v>1.124454504259331</v>
      </c>
      <c r="V113" s="31">
        <v>1.090047625878257</v>
      </c>
      <c r="W113" s="31">
        <v>1.0595630089527881</v>
      </c>
      <c r="X113" s="31">
        <v>1.029763720800779</v>
      </c>
      <c r="Y113" s="31">
        <v>0.99736385801147842</v>
      </c>
      <c r="Z113" s="31">
        <v>0.95902854644551794</v>
      </c>
      <c r="AA113" s="31">
        <v>0.91137394123491511</v>
      </c>
      <c r="AB113" s="31">
        <v>0.8509672267830739</v>
      </c>
      <c r="AC113" s="31">
        <v>0.77432661676478987</v>
      </c>
      <c r="AD113" s="31">
        <v>0.6779213541262501</v>
      </c>
      <c r="AE113" s="31">
        <v>0.5581717110850023</v>
      </c>
      <c r="AF113" s="31">
        <v>0.41144898913001637</v>
      </c>
      <c r="AG113" s="31">
        <v>0.23407551902162821</v>
      </c>
      <c r="AH113" s="32">
        <v>2.232466079156659E-2</v>
      </c>
    </row>
    <row r="114" spans="1:34" x14ac:dyDescent="0.25">
      <c r="A114" s="30">
        <v>68</v>
      </c>
      <c r="B114" s="31">
        <v>6.5613890998184914</v>
      </c>
      <c r="C114" s="31">
        <v>5.8925824655926773</v>
      </c>
      <c r="D114" s="31">
        <v>5.2806553668368323</v>
      </c>
      <c r="E114" s="31">
        <v>4.7232734259811631</v>
      </c>
      <c r="F114" s="31">
        <v>4.2180532947272704</v>
      </c>
      <c r="G114" s="31">
        <v>3.7625626540481409</v>
      </c>
      <c r="H114" s="31">
        <v>3.3543202141881561</v>
      </c>
      <c r="I114" s="31">
        <v>2.990795714663069</v>
      </c>
      <c r="J114" s="31">
        <v>2.6694099242600302</v>
      </c>
      <c r="K114" s="31">
        <v>2.387534641037576</v>
      </c>
      <c r="L114" s="31">
        <v>2.14249269232563</v>
      </c>
      <c r="M114" s="31">
        <v>1.931557934725499</v>
      </c>
      <c r="N114" s="31">
        <v>1.7519552541098831</v>
      </c>
      <c r="O114" s="31">
        <v>1.6008605656228589</v>
      </c>
      <c r="P114" s="31">
        <v>1.4754008136799019</v>
      </c>
      <c r="Q114" s="31">
        <v>1.372653971967867</v>
      </c>
      <c r="R114" s="31">
        <v>1.2896490434450001</v>
      </c>
      <c r="S114" s="31">
        <v>1.223366060340928</v>
      </c>
      <c r="T114" s="31">
        <v>1.170736084156671</v>
      </c>
      <c r="U114" s="31">
        <v>1.1286412056646411</v>
      </c>
      <c r="V114" s="31">
        <v>1.0939145449086181</v>
      </c>
      <c r="W114" s="31">
        <v>1.0633402512037931</v>
      </c>
      <c r="X114" s="31">
        <v>1.033653503136722</v>
      </c>
      <c r="Y114" s="31">
        <v>1.0015405085653599</v>
      </c>
      <c r="Z114" s="31">
        <v>0.96363850461905154</v>
      </c>
      <c r="AA114" s="31">
        <v>0.91653575769851703</v>
      </c>
      <c r="AB114" s="31">
        <v>0.85677156347587502</v>
      </c>
      <c r="AC114" s="31">
        <v>0.78083624689462217</v>
      </c>
      <c r="AD114" s="31">
        <v>0.68517116216965457</v>
      </c>
      <c r="AE114" s="31">
        <v>0.56616869278724391</v>
      </c>
      <c r="AF114" s="31">
        <v>0.42017225150503729</v>
      </c>
      <c r="AG114" s="31">
        <v>0.24347628035210361</v>
      </c>
      <c r="AH114" s="32">
        <v>3.232625062887174E-2</v>
      </c>
    </row>
    <row r="115" spans="1:34" x14ac:dyDescent="0.25">
      <c r="A115" s="30">
        <v>74</v>
      </c>
      <c r="B115" s="31">
        <v>6.6410308058668983</v>
      </c>
      <c r="C115" s="31">
        <v>5.9635316484878524</v>
      </c>
      <c r="D115" s="31">
        <v>5.3435694250326629</v>
      </c>
      <c r="E115" s="31">
        <v>4.7787858533047212</v>
      </c>
      <c r="F115" s="31">
        <v>4.2667736803788072</v>
      </c>
      <c r="G115" s="31">
        <v>3.8050766826010869</v>
      </c>
      <c r="H115" s="31">
        <v>3.3911896655891161</v>
      </c>
      <c r="I115" s="31">
        <v>3.0225584642318282</v>
      </c>
      <c r="J115" s="31">
        <v>2.696579942689556</v>
      </c>
      <c r="K115" s="31">
        <v>2.410601994394006</v>
      </c>
      <c r="L115" s="31">
        <v>2.1619235420482878</v>
      </c>
      <c r="M115" s="31">
        <v>1.9477945376268839</v>
      </c>
      <c r="N115" s="31">
        <v>1.7654159623756689</v>
      </c>
      <c r="O115" s="31">
        <v>1.611939826811905</v>
      </c>
      <c r="P115" s="31">
        <v>1.484469170724241</v>
      </c>
      <c r="Q115" s="31">
        <v>1.38005806317271</v>
      </c>
      <c r="R115" s="31">
        <v>1.295711602488737</v>
      </c>
      <c r="S115" s="31">
        <v>1.2283859162751321</v>
      </c>
      <c r="T115" s="31">
        <v>1.1749881614060911</v>
      </c>
      <c r="U115" s="31">
        <v>1.132376524027193</v>
      </c>
      <c r="V115" s="31">
        <v>1.097360219555416</v>
      </c>
      <c r="W115" s="31">
        <v>1.0666994926791129</v>
      </c>
      <c r="X115" s="31">
        <v>1.0371056173580251</v>
      </c>
      <c r="Y115" s="31">
        <v>1.005240896823288</v>
      </c>
      <c r="Z115" s="31">
        <v>0.96771866357742164</v>
      </c>
      <c r="AA115" s="31">
        <v>0.92110327939432124</v>
      </c>
      <c r="AB115" s="31">
        <v>0.86191013531929772</v>
      </c>
      <c r="AC115" s="31">
        <v>0.78660565166900587</v>
      </c>
      <c r="AD115" s="31">
        <v>0.69160727803153543</v>
      </c>
      <c r="AE115" s="31">
        <v>0.57328349326632022</v>
      </c>
      <c r="AF115" s="31">
        <v>0.42795380550421058</v>
      </c>
      <c r="AG115" s="31">
        <v>0.25188875214743511</v>
      </c>
      <c r="AH115" s="32">
        <v>4.1309899869608202E-2</v>
      </c>
    </row>
    <row r="116" spans="1:34" x14ac:dyDescent="0.25">
      <c r="A116" s="33">
        <v>80</v>
      </c>
      <c r="B116" s="34">
        <v>6.7221396615587059</v>
      </c>
      <c r="C116" s="34">
        <v>6.0358284571696403</v>
      </c>
      <c r="D116" s="34">
        <v>5.407717102552148</v>
      </c>
      <c r="E116" s="34">
        <v>4.8354234108827931</v>
      </c>
      <c r="F116" s="34">
        <v>4.3165162246095363</v>
      </c>
      <c r="G116" s="34">
        <v>3.8485154154517178</v>
      </c>
      <c r="H116" s="34">
        <v>3.428891884400076</v>
      </c>
      <c r="I116" s="34">
        <v>3.0550675617167209</v>
      </c>
      <c r="J116" s="34">
        <v>2.724415406935162</v>
      </c>
      <c r="K116" s="34">
        <v>2.4342594088602909</v>
      </c>
      <c r="L116" s="34">
        <v>2.1818745855683832</v>
      </c>
      <c r="M116" s="34">
        <v>1.9644869844071109</v>
      </c>
      <c r="N116" s="34">
        <v>1.7792736819955239</v>
      </c>
      <c r="O116" s="34">
        <v>1.6233627842240601</v>
      </c>
      <c r="P116" s="34">
        <v>1.4938334262545481</v>
      </c>
      <c r="Q116" s="34">
        <v>1.3877157725202021</v>
      </c>
      <c r="R116" s="34">
        <v>1.301991016725623</v>
      </c>
      <c r="S116" s="34">
        <v>1.2335913818467941</v>
      </c>
      <c r="T116" s="34">
        <v>1.1794001201310971</v>
      </c>
      <c r="U116" s="34">
        <v>1.136251513097295</v>
      </c>
      <c r="V116" s="34">
        <v>1.1009308715355239</v>
      </c>
      <c r="W116" s="34">
        <v>1.070174535507336</v>
      </c>
      <c r="X116" s="34">
        <v>1.0406698743456411</v>
      </c>
      <c r="Y116" s="34">
        <v>1.009055286654756</v>
      </c>
      <c r="Z116" s="34">
        <v>0.97192020031037496</v>
      </c>
      <c r="AA116" s="34">
        <v>0.92580507245957677</v>
      </c>
      <c r="AB116" s="34">
        <v>0.86720138952083581</v>
      </c>
      <c r="AC116" s="34">
        <v>0.79255166718401526</v>
      </c>
      <c r="AD116" s="34">
        <v>0.69824945041035535</v>
      </c>
      <c r="AE116" s="34">
        <v>0.58063931343247444</v>
      </c>
      <c r="AF116" s="34">
        <v>0.43601685975442189</v>
      </c>
      <c r="AG116" s="34">
        <v>0.26062872215157112</v>
      </c>
      <c r="AH116" s="35">
        <v>5.0672562670731842E-2</v>
      </c>
    </row>
    <row r="119" spans="1:34" ht="28.9" customHeight="1" x14ac:dyDescent="0.5">
      <c r="A119" s="1" t="s">
        <v>31</v>
      </c>
    </row>
    <row r="120" spans="1:34" ht="32.1" customHeight="1" x14ac:dyDescent="0.25"/>
    <row r="121" spans="1:34" x14ac:dyDescent="0.25">
      <c r="A121" s="2"/>
      <c r="B121" s="3"/>
      <c r="C121" s="3"/>
      <c r="D121" s="4"/>
    </row>
    <row r="122" spans="1:34" x14ac:dyDescent="0.25">
      <c r="A122" s="5" t="s">
        <v>32</v>
      </c>
      <c r="B122" s="6">
        <v>4</v>
      </c>
      <c r="C122" s="6" t="s">
        <v>12</v>
      </c>
      <c r="D122" s="7"/>
    </row>
    <row r="123" spans="1:34" x14ac:dyDescent="0.25">
      <c r="A123" s="8"/>
      <c r="B123" s="9"/>
      <c r="C123" s="9"/>
      <c r="D123" s="10"/>
    </row>
    <row r="126" spans="1:34" ht="48" customHeight="1" x14ac:dyDescent="0.25">
      <c r="A126" s="21" t="s">
        <v>33</v>
      </c>
      <c r="B126" s="23" t="s">
        <v>34</v>
      </c>
    </row>
    <row r="127" spans="1:34" x14ac:dyDescent="0.25">
      <c r="A127" s="5">
        <v>0</v>
      </c>
      <c r="B127" s="32">
        <v>0.14999999999999991</v>
      </c>
    </row>
    <row r="128" spans="1:34" x14ac:dyDescent="0.25">
      <c r="A128" s="5">
        <v>0.125</v>
      </c>
      <c r="B128" s="32">
        <v>0.14689062500000041</v>
      </c>
    </row>
    <row r="129" spans="1:2" x14ac:dyDescent="0.25">
      <c r="A129" s="5">
        <v>0.25</v>
      </c>
      <c r="B129" s="32">
        <v>6.7520833333333474E-2</v>
      </c>
    </row>
    <row r="130" spans="1:2" x14ac:dyDescent="0.25">
      <c r="A130" s="5">
        <v>0.375</v>
      </c>
      <c r="B130" s="32">
        <v>-3.1742647058823459E-2</v>
      </c>
    </row>
    <row r="131" spans="1:2" x14ac:dyDescent="0.25">
      <c r="A131" s="5">
        <v>0.5</v>
      </c>
      <c r="B131" s="32">
        <v>-1.3249999999999981E-2</v>
      </c>
    </row>
    <row r="132" spans="1:2" x14ac:dyDescent="0.25">
      <c r="A132" s="5">
        <v>0.625</v>
      </c>
      <c r="B132" s="32">
        <v>8.9034653465347446E-3</v>
      </c>
    </row>
    <row r="133" spans="1:2" x14ac:dyDescent="0.25">
      <c r="A133" s="5">
        <v>0.75</v>
      </c>
      <c r="B133" s="32">
        <v>-7.6445544554453182E-3</v>
      </c>
    </row>
    <row r="134" spans="1:2" x14ac:dyDescent="0.25">
      <c r="A134" s="5">
        <v>0.875</v>
      </c>
      <c r="B134" s="32">
        <v>-2.4192574257425711E-2</v>
      </c>
    </row>
    <row r="135" spans="1:2" x14ac:dyDescent="0.25">
      <c r="A135" s="5">
        <v>1</v>
      </c>
      <c r="B135" s="32">
        <v>-4.0740594059405888E-2</v>
      </c>
    </row>
    <row r="136" spans="1:2" x14ac:dyDescent="0.25">
      <c r="A136" s="5">
        <v>1.125</v>
      </c>
      <c r="B136" s="32">
        <v>-4.164601769911503E-2</v>
      </c>
    </row>
    <row r="137" spans="1:2" x14ac:dyDescent="0.25">
      <c r="A137" s="5">
        <v>1.25</v>
      </c>
      <c r="B137" s="32">
        <v>-3.4327586206896347E-2</v>
      </c>
    </row>
    <row r="138" spans="1:2" x14ac:dyDescent="0.25">
      <c r="A138" s="5">
        <v>1.375</v>
      </c>
      <c r="B138" s="32">
        <v>-2.9974137931034431E-2</v>
      </c>
    </row>
    <row r="139" spans="1:2" x14ac:dyDescent="0.25">
      <c r="A139" s="5">
        <v>1.5</v>
      </c>
      <c r="B139" s="32">
        <v>-2.562068965517228E-2</v>
      </c>
    </row>
    <row r="140" spans="1:2" x14ac:dyDescent="0.25">
      <c r="A140" s="5">
        <v>1.625</v>
      </c>
      <c r="B140" s="32">
        <v>-2.305932203389827E-2</v>
      </c>
    </row>
    <row r="141" spans="1:2" x14ac:dyDescent="0.25">
      <c r="A141" s="5">
        <v>1.75</v>
      </c>
      <c r="B141" s="32">
        <v>-2.089830508474555E-2</v>
      </c>
    </row>
    <row r="142" spans="1:2" x14ac:dyDescent="0.25">
      <c r="A142" s="5">
        <v>1.875</v>
      </c>
      <c r="B142" s="32">
        <v>-1.8737288135593281E-2</v>
      </c>
    </row>
    <row r="143" spans="1:2" x14ac:dyDescent="0.25">
      <c r="A143" s="5">
        <v>2</v>
      </c>
      <c r="B143" s="32">
        <v>-1.657627118644078E-2</v>
      </c>
    </row>
    <row r="144" spans="1:2" x14ac:dyDescent="0.25">
      <c r="A144" s="5">
        <v>2.125</v>
      </c>
      <c r="B144" s="32">
        <v>-1.5173400673400559E-2</v>
      </c>
    </row>
    <row r="145" spans="1:2" x14ac:dyDescent="0.25">
      <c r="A145" s="5">
        <v>2.25</v>
      </c>
      <c r="B145" s="32">
        <v>-1.386868686868703E-2</v>
      </c>
    </row>
    <row r="146" spans="1:2" x14ac:dyDescent="0.25">
      <c r="A146" s="5">
        <v>2.375</v>
      </c>
      <c r="B146" s="32">
        <v>-1.256397306397283E-2</v>
      </c>
    </row>
    <row r="147" spans="1:2" x14ac:dyDescent="0.25">
      <c r="A147" s="5">
        <v>2.5</v>
      </c>
      <c r="B147" s="32">
        <v>-1.1259259259259521E-2</v>
      </c>
    </row>
    <row r="148" spans="1:2" x14ac:dyDescent="0.25">
      <c r="A148" s="5">
        <v>2.625</v>
      </c>
      <c r="B148" s="32">
        <v>-9.9545454545453271E-3</v>
      </c>
    </row>
    <row r="149" spans="1:2" x14ac:dyDescent="0.25">
      <c r="A149" s="5">
        <v>2.75</v>
      </c>
      <c r="B149" s="32">
        <v>-8.6498316498315742E-3</v>
      </c>
    </row>
    <row r="150" spans="1:2" x14ac:dyDescent="0.25">
      <c r="A150" s="5">
        <v>2.875</v>
      </c>
      <c r="B150" s="32">
        <v>-7.3451178451175991E-3</v>
      </c>
    </row>
    <row r="151" spans="1:2" x14ac:dyDescent="0.25">
      <c r="A151" s="5">
        <v>3</v>
      </c>
      <c r="B151" s="32">
        <v>-6.0404040404036241E-3</v>
      </c>
    </row>
    <row r="152" spans="1:2" x14ac:dyDescent="0.25">
      <c r="A152" s="5">
        <v>3.125</v>
      </c>
      <c r="B152" s="32">
        <v>-4.3226351351350889E-3</v>
      </c>
    </row>
    <row r="153" spans="1:2" x14ac:dyDescent="0.25">
      <c r="A153" s="5">
        <v>3.25</v>
      </c>
      <c r="B153" s="32">
        <v>-2.5912162162156078E-3</v>
      </c>
    </row>
    <row r="154" spans="1:2" x14ac:dyDescent="0.25">
      <c r="A154" s="5">
        <v>3.375</v>
      </c>
      <c r="B154" s="32">
        <v>-8.5979729729701582E-4</v>
      </c>
    </row>
    <row r="155" spans="1:2" x14ac:dyDescent="0.25">
      <c r="A155" s="5">
        <v>3.5</v>
      </c>
      <c r="B155" s="32">
        <v>8.7162162162157664E-4</v>
      </c>
    </row>
    <row r="156" spans="1:2" x14ac:dyDescent="0.25">
      <c r="A156" s="5">
        <v>3.625</v>
      </c>
      <c r="B156" s="32">
        <v>2.6030405405406132E-3</v>
      </c>
    </row>
    <row r="157" spans="1:2" x14ac:dyDescent="0.25">
      <c r="A157" s="5">
        <v>3.75</v>
      </c>
      <c r="B157" s="32">
        <v>4.3344594594596497E-3</v>
      </c>
    </row>
    <row r="158" spans="1:2" x14ac:dyDescent="0.25">
      <c r="A158" s="5">
        <v>3.875</v>
      </c>
      <c r="B158" s="32">
        <v>6.0658783783786863E-3</v>
      </c>
    </row>
    <row r="159" spans="1:2" x14ac:dyDescent="0.25">
      <c r="A159" s="8">
        <v>4</v>
      </c>
      <c r="B159" s="35">
        <v>7.9656357388315779E-3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R159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39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44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6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300</v>
      </c>
      <c r="C24" s="13" t="s">
        <v>8</v>
      </c>
      <c r="D24" s="14"/>
    </row>
    <row r="25" spans="1:4" x14ac:dyDescent="0.25">
      <c r="A25" s="5" t="s">
        <v>9</v>
      </c>
      <c r="B25" s="13">
        <v>14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11</v>
      </c>
      <c r="B31" s="6">
        <v>0.18999999999999989</v>
      </c>
      <c r="C31" s="6" t="s">
        <v>12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13</v>
      </c>
    </row>
    <row r="37" spans="1:5" x14ac:dyDescent="0.25">
      <c r="A37" s="17" t="s">
        <v>14</v>
      </c>
      <c r="B37" s="36">
        <v>100</v>
      </c>
      <c r="C37" s="17" t="s">
        <v>15</v>
      </c>
      <c r="D37" s="17" t="s">
        <v>16</v>
      </c>
      <c r="E37" s="17"/>
    </row>
    <row r="38" spans="1:5" hidden="1" x14ac:dyDescent="0.25">
      <c r="A38" s="17" t="s">
        <v>17</v>
      </c>
      <c r="B38" s="17">
        <v>14.7</v>
      </c>
      <c r="C38" s="17"/>
      <c r="D38" s="17" t="s">
        <v>16</v>
      </c>
      <c r="E38" s="17"/>
    </row>
    <row r="39" spans="1:5" hidden="1" x14ac:dyDescent="0.25">
      <c r="A39" s="17" t="s">
        <v>18</v>
      </c>
      <c r="B39" s="17">
        <v>9.0079999999999991</v>
      </c>
      <c r="C39" s="17"/>
      <c r="D39" s="17" t="s">
        <v>16</v>
      </c>
      <c r="E39" s="17"/>
    </row>
    <row r="41" spans="1:5" ht="48" customHeight="1" x14ac:dyDescent="0.25">
      <c r="A41" s="18" t="s">
        <v>40</v>
      </c>
      <c r="B41" s="19" t="s">
        <v>20</v>
      </c>
      <c r="C41" s="19" t="s">
        <v>21</v>
      </c>
      <c r="D41" s="19" t="s">
        <v>22</v>
      </c>
      <c r="E41" s="20" t="s">
        <v>23</v>
      </c>
    </row>
    <row r="42" spans="1:5" x14ac:dyDescent="0.25">
      <c r="A42" s="5">
        <v>128</v>
      </c>
      <c r="B42" s="6">
        <v>55.381658044585294</v>
      </c>
      <c r="C42" s="6">
        <f>55.3816580445852 * $B$37 / 100</f>
        <v>55.381658044585201</v>
      </c>
      <c r="D42" s="6">
        <v>6.9779658432665359</v>
      </c>
      <c r="E42" s="7">
        <f>6.97796584326653 * $B$37 / 100</f>
        <v>6.9779658432665288</v>
      </c>
    </row>
    <row r="43" spans="1:5" x14ac:dyDescent="0.25">
      <c r="A43" s="5">
        <v>144</v>
      </c>
      <c r="B43" s="6">
        <v>58.741118935021163</v>
      </c>
      <c r="C43" s="6">
        <f>58.7411189350211 * $B$37 / 100</f>
        <v>58.741118935021092</v>
      </c>
      <c r="D43" s="6">
        <v>7.4012504499928093</v>
      </c>
      <c r="E43" s="7">
        <f>7.4012504499928 * $B$37 / 100</f>
        <v>7.4012504499927987</v>
      </c>
    </row>
    <row r="44" spans="1:5" x14ac:dyDescent="0.25">
      <c r="A44" s="5">
        <v>160</v>
      </c>
      <c r="B44" s="6">
        <v>61.91857604717039</v>
      </c>
      <c r="C44" s="6">
        <f>61.9185760471703 * $B$37 / 100</f>
        <v>61.918576047170298</v>
      </c>
      <c r="D44" s="6">
        <v>7.8016029851078077</v>
      </c>
      <c r="E44" s="7">
        <f>7.8016029851078 * $B$37 / 100</f>
        <v>7.8016029851077997</v>
      </c>
    </row>
    <row r="45" spans="1:5" x14ac:dyDescent="0.25">
      <c r="A45" s="5">
        <v>176</v>
      </c>
      <c r="B45" s="6">
        <v>64.940750424368716</v>
      </c>
      <c r="C45" s="6">
        <f>64.9407504243687 * $B$37 / 100</f>
        <v>64.940750424368701</v>
      </c>
      <c r="D45" s="6">
        <v>8.1823902406917366</v>
      </c>
      <c r="E45" s="7">
        <f>8.18239024069173 * $B$37 / 100</f>
        <v>8.1823902406917295</v>
      </c>
    </row>
    <row r="46" spans="1:5" x14ac:dyDescent="0.25">
      <c r="A46" s="5">
        <v>192</v>
      </c>
      <c r="B46" s="6">
        <v>67.828401659268579</v>
      </c>
      <c r="C46" s="6">
        <f>67.8284016592685 * $B$37 / 100</f>
        <v>67.828401659268494</v>
      </c>
      <c r="D46" s="6">
        <v>8.5462278792863753</v>
      </c>
      <c r="E46" s="7">
        <f>8.54622787928637 * $B$37 / 100</f>
        <v>8.54622787928637</v>
      </c>
    </row>
    <row r="47" spans="1:5" x14ac:dyDescent="0.25">
      <c r="A47" s="5">
        <v>208</v>
      </c>
      <c r="B47" s="6">
        <v>70.598038766115806</v>
      </c>
      <c r="C47" s="6">
        <f>70.5980387661158 * $B$37 / 100</f>
        <v>70.598038766115806</v>
      </c>
      <c r="D47" s="6">
        <v>8.8951960000000003</v>
      </c>
      <c r="E47" s="7">
        <f>8.895196 * $B$37 / 100</f>
        <v>8.8951960000000003</v>
      </c>
    </row>
    <row r="48" spans="1:5" x14ac:dyDescent="0.25">
      <c r="A48" s="5">
        <v>224</v>
      </c>
      <c r="B48" s="6">
        <v>73.439295225665361</v>
      </c>
      <c r="C48" s="6">
        <f>73.4392952256653 * $B$37 / 100</f>
        <v>73.439295225665305</v>
      </c>
      <c r="D48" s="6">
        <v>9.2531880000000015</v>
      </c>
      <c r="E48" s="7">
        <f>9.253188 * $B$37 / 100</f>
        <v>9.2531879999999997</v>
      </c>
    </row>
    <row r="49" spans="1:5" x14ac:dyDescent="0.25">
      <c r="A49" s="5">
        <v>240</v>
      </c>
      <c r="B49" s="6">
        <v>76.280551685214903</v>
      </c>
      <c r="C49" s="6">
        <f>76.2805516852149 * $B$37 / 100</f>
        <v>76.280551685214903</v>
      </c>
      <c r="D49" s="6">
        <v>9.6111799999999992</v>
      </c>
      <c r="E49" s="7">
        <f>9.61118 * $B$37 / 100</f>
        <v>9.6111799999999992</v>
      </c>
    </row>
    <row r="50" spans="1:5" x14ac:dyDescent="0.25">
      <c r="A50" s="5">
        <v>256</v>
      </c>
      <c r="B50" s="6">
        <v>79.121808144764458</v>
      </c>
      <c r="C50" s="6">
        <f>79.1218081447644 * $B$37 / 100</f>
        <v>79.121808144764401</v>
      </c>
      <c r="D50" s="6">
        <v>9.9691719999999986</v>
      </c>
      <c r="E50" s="7">
        <f>9.96917199999999 * $B$37 / 100</f>
        <v>9.9691719999999897</v>
      </c>
    </row>
    <row r="51" spans="1:5" x14ac:dyDescent="0.25">
      <c r="A51" s="5">
        <v>272</v>
      </c>
      <c r="B51" s="6">
        <v>81.963064604314013</v>
      </c>
      <c r="C51" s="6">
        <f>81.963064604314 * $B$37 / 100</f>
        <v>81.963064604313999</v>
      </c>
      <c r="D51" s="6">
        <v>10.327164</v>
      </c>
      <c r="E51" s="7">
        <f>10.327164 * $B$37 / 100</f>
        <v>10.327164</v>
      </c>
    </row>
    <row r="52" spans="1:5" x14ac:dyDescent="0.25">
      <c r="A52" s="5">
        <v>288</v>
      </c>
      <c r="B52" s="6">
        <v>84.804321063863568</v>
      </c>
      <c r="C52" s="6">
        <f>84.8043210638635 * $B$37 / 100</f>
        <v>84.804321063863497</v>
      </c>
      <c r="D52" s="6">
        <v>10.685155999999999</v>
      </c>
      <c r="E52" s="7">
        <f>10.685156 * $B$37 / 100</f>
        <v>10.685155999999999</v>
      </c>
    </row>
    <row r="53" spans="1:5" x14ac:dyDescent="0.25">
      <c r="A53" s="5">
        <v>304</v>
      </c>
      <c r="B53" s="6">
        <v>87.503823700594367</v>
      </c>
      <c r="C53" s="6">
        <f>87.5038237005943 * $B$37 / 100</f>
        <v>87.503823700594296</v>
      </c>
      <c r="D53" s="6">
        <v>11.025287333333329</v>
      </c>
      <c r="E53" s="7">
        <f>11.0252873333333 * $B$37 / 100</f>
        <v>11.025287333333299</v>
      </c>
    </row>
    <row r="54" spans="1:5" x14ac:dyDescent="0.25">
      <c r="A54" s="5">
        <v>320</v>
      </c>
      <c r="B54" s="6">
        <v>89.778064868868938</v>
      </c>
      <c r="C54" s="6">
        <f>89.7780648688689 * $B$37 / 100</f>
        <v>89.778064868868896</v>
      </c>
      <c r="D54" s="6">
        <v>11.31183666666667</v>
      </c>
      <c r="E54" s="7">
        <f>11.3118366666666 * $B$37 / 100</f>
        <v>11.311836666666601</v>
      </c>
    </row>
    <row r="55" spans="1:5" x14ac:dyDescent="0.25">
      <c r="A55" s="5">
        <v>336</v>
      </c>
      <c r="B55" s="6">
        <v>92.052306037143524</v>
      </c>
      <c r="C55" s="6">
        <f>92.0523060371435 * $B$37 / 100</f>
        <v>92.052306037143495</v>
      </c>
      <c r="D55" s="6">
        <v>11.598386</v>
      </c>
      <c r="E55" s="7">
        <f>11.598386 * $B$37 / 100</f>
        <v>11.598386</v>
      </c>
    </row>
    <row r="56" spans="1:5" x14ac:dyDescent="0.25">
      <c r="A56" s="5">
        <v>352</v>
      </c>
      <c r="B56" s="6">
        <v>94.326547205418095</v>
      </c>
      <c r="C56" s="6">
        <f>94.3265472054181 * $B$37 / 100</f>
        <v>94.326547205418095</v>
      </c>
      <c r="D56" s="6">
        <v>11.884935333333329</v>
      </c>
      <c r="E56" s="7">
        <f>11.8849353333333 * $B$37 / 100</f>
        <v>11.884935333333299</v>
      </c>
    </row>
    <row r="57" spans="1:5" x14ac:dyDescent="0.25">
      <c r="A57" s="5">
        <v>368</v>
      </c>
      <c r="B57" s="6">
        <v>96.600788373692666</v>
      </c>
      <c r="C57" s="6">
        <f>96.6007883736926 * $B$37 / 100</f>
        <v>96.600788373692595</v>
      </c>
      <c r="D57" s="6">
        <v>12.17148466666667</v>
      </c>
      <c r="E57" s="7">
        <f>12.1714846666666 * $B$37 / 100</f>
        <v>12.171484666666602</v>
      </c>
    </row>
    <row r="58" spans="1:5" x14ac:dyDescent="0.25">
      <c r="A58" s="5">
        <v>384</v>
      </c>
      <c r="B58" s="6">
        <v>98.875029541967237</v>
      </c>
      <c r="C58" s="6">
        <f>98.8750295419672 * $B$37 / 100</f>
        <v>98.875029541967194</v>
      </c>
      <c r="D58" s="6">
        <v>12.458034</v>
      </c>
      <c r="E58" s="7">
        <f>12.458034 * $B$37 / 100</f>
        <v>12.458034</v>
      </c>
    </row>
    <row r="59" spans="1:5" x14ac:dyDescent="0.25">
      <c r="A59" s="5">
        <v>400</v>
      </c>
      <c r="B59" s="6">
        <v>101.14927071024179</v>
      </c>
      <c r="C59" s="6">
        <f>101.149270710241 * $B$37 / 100</f>
        <v>101.149270710241</v>
      </c>
      <c r="D59" s="6">
        <v>12.744583333333329</v>
      </c>
      <c r="E59" s="7">
        <f>12.7445833333333 * $B$37 / 100</f>
        <v>12.744583333333299</v>
      </c>
    </row>
    <row r="60" spans="1:5" x14ac:dyDescent="0.25">
      <c r="A60" s="5">
        <v>416</v>
      </c>
      <c r="B60" s="6">
        <v>103.22884177851461</v>
      </c>
      <c r="C60" s="6">
        <f>103.228841778514 * $B$37 / 100</f>
        <v>103.228841778514</v>
      </c>
      <c r="D60" s="6">
        <v>13.00660466666667</v>
      </c>
      <c r="E60" s="7">
        <f>13.0066046666666 * $B$37 / 100</f>
        <v>13.0066046666666</v>
      </c>
    </row>
    <row r="61" spans="1:5" x14ac:dyDescent="0.25">
      <c r="A61" s="5">
        <v>432</v>
      </c>
      <c r="B61" s="6">
        <v>105.30841284678741</v>
      </c>
      <c r="C61" s="6">
        <f>105.308412846787 * $B$37 / 100</f>
        <v>105.30841284678699</v>
      </c>
      <c r="D61" s="6">
        <v>13.268625999999999</v>
      </c>
      <c r="E61" s="7">
        <f>13.268626 * $B$37 / 100</f>
        <v>13.268625999999999</v>
      </c>
    </row>
    <row r="62" spans="1:5" x14ac:dyDescent="0.25">
      <c r="A62" s="5">
        <v>448</v>
      </c>
      <c r="B62" s="6">
        <v>107.3879839150602</v>
      </c>
      <c r="C62" s="6">
        <f>107.38798391506 * $B$37 / 100</f>
        <v>107.38798391506002</v>
      </c>
      <c r="D62" s="6">
        <v>13.530647333333331</v>
      </c>
      <c r="E62" s="7">
        <f>13.5306473333333 * $B$37 / 100</f>
        <v>13.530647333333299</v>
      </c>
    </row>
    <row r="63" spans="1:5" x14ac:dyDescent="0.25">
      <c r="A63" s="5">
        <v>464</v>
      </c>
      <c r="B63" s="6">
        <v>109.467554983333</v>
      </c>
      <c r="C63" s="6">
        <f>109.467554983333 * $B$37 / 100</f>
        <v>109.46755498333299</v>
      </c>
      <c r="D63" s="6">
        <v>13.79266866666666</v>
      </c>
      <c r="E63" s="7">
        <f>13.7926686666666 * $B$37 / 100</f>
        <v>13.7926686666666</v>
      </c>
    </row>
    <row r="64" spans="1:5" x14ac:dyDescent="0.25">
      <c r="A64" s="5">
        <v>480</v>
      </c>
      <c r="B64" s="6">
        <v>111.5471260516058</v>
      </c>
      <c r="C64" s="6">
        <f>111.547126051605 * $B$37 / 100</f>
        <v>111.54712605160501</v>
      </c>
      <c r="D64" s="6">
        <v>14.054690000000001</v>
      </c>
      <c r="E64" s="7">
        <f>14.0546899999999 * $B$37 / 100</f>
        <v>14.054689999999901</v>
      </c>
    </row>
    <row r="65" spans="1:18" x14ac:dyDescent="0.25">
      <c r="A65" s="5">
        <v>496</v>
      </c>
      <c r="B65" s="6">
        <v>113.6266971198787</v>
      </c>
      <c r="C65" s="6">
        <f>113.626697119878 * $B$37 / 100</f>
        <v>113.626697119878</v>
      </c>
      <c r="D65" s="6">
        <v>14.31671133333333</v>
      </c>
      <c r="E65" s="7">
        <f>14.3167113333333 * $B$37 / 100</f>
        <v>14.3167113333333</v>
      </c>
    </row>
    <row r="66" spans="1:18" x14ac:dyDescent="0.25">
      <c r="A66" s="5">
        <v>512</v>
      </c>
      <c r="B66" s="6">
        <v>115.484946824459</v>
      </c>
      <c r="C66" s="6">
        <f>115.484946824458 * $B$37 / 100</f>
        <v>115.48494682445801</v>
      </c>
      <c r="D66" s="6">
        <v>14.55084666666667</v>
      </c>
      <c r="E66" s="7">
        <f>14.5508466666666 * $B$37 / 100</f>
        <v>14.550846666666597</v>
      </c>
    </row>
    <row r="67" spans="1:18" x14ac:dyDescent="0.25">
      <c r="A67" s="5">
        <v>528</v>
      </c>
      <c r="B67" s="6">
        <v>117.2694227411418</v>
      </c>
      <c r="C67" s="6">
        <f>117.269422741141 * $B$37 / 100</f>
        <v>117.269422741141</v>
      </c>
      <c r="D67" s="6">
        <v>14.775686666666671</v>
      </c>
      <c r="E67" s="7">
        <f>14.7756866666666 * $B$37 / 100</f>
        <v>14.7756866666666</v>
      </c>
    </row>
    <row r="68" spans="1:18" x14ac:dyDescent="0.25">
      <c r="A68" s="5">
        <v>544</v>
      </c>
      <c r="B68" s="6">
        <v>119.0538986578246</v>
      </c>
      <c r="C68" s="6">
        <f>119.053898657824 * $B$37 / 100</f>
        <v>119.05389865782401</v>
      </c>
      <c r="D68" s="6">
        <v>15.000526666666669</v>
      </c>
      <c r="E68" s="7">
        <f>15.0005266666666 * $B$37 / 100</f>
        <v>15.000526666666598</v>
      </c>
    </row>
    <row r="69" spans="1:18" x14ac:dyDescent="0.25">
      <c r="A69" s="5">
        <v>560</v>
      </c>
      <c r="B69" s="6">
        <v>120.8383745745075</v>
      </c>
      <c r="C69" s="6">
        <f>120.838374574507 * $B$37 / 100</f>
        <v>120.838374574507</v>
      </c>
      <c r="D69" s="6">
        <v>15.22536666666667</v>
      </c>
      <c r="E69" s="7">
        <f>15.2253666666666 * $B$37 / 100</f>
        <v>15.2253666666666</v>
      </c>
    </row>
    <row r="70" spans="1:18" x14ac:dyDescent="0.25">
      <c r="A70" s="5">
        <v>576</v>
      </c>
      <c r="B70" s="6">
        <v>122.62285049119031</v>
      </c>
      <c r="C70" s="6">
        <f>122.62285049119 * $B$37 / 100</f>
        <v>122.62285049119001</v>
      </c>
      <c r="D70" s="6">
        <v>15.45020666666667</v>
      </c>
      <c r="E70" s="7">
        <f>15.4502066666666 * $B$37 / 100</f>
        <v>15.450206666666599</v>
      </c>
    </row>
    <row r="71" spans="1:18" x14ac:dyDescent="0.25">
      <c r="A71" s="5">
        <v>592</v>
      </c>
      <c r="B71" s="6">
        <v>124.4073264078732</v>
      </c>
      <c r="C71" s="6">
        <f>124.407326407873 * $B$37 / 100</f>
        <v>124.407326407873</v>
      </c>
      <c r="D71" s="6">
        <v>15.67504666666667</v>
      </c>
      <c r="E71" s="7">
        <f>15.6750466666666 * $B$37 / 100</f>
        <v>15.675046666666599</v>
      </c>
    </row>
    <row r="72" spans="1:18" x14ac:dyDescent="0.25">
      <c r="A72" s="5">
        <v>608</v>
      </c>
      <c r="B72" s="6">
        <v>126.0772981290504</v>
      </c>
      <c r="C72" s="6">
        <f>126.07729812905 * $B$37 / 100</f>
        <v>126.07729812905001</v>
      </c>
      <c r="D72" s="6">
        <v>15.88545939248672</v>
      </c>
      <c r="E72" s="7">
        <f>15.8854593924867 * $B$37 / 100</f>
        <v>15.8854593924867</v>
      </c>
    </row>
    <row r="73" spans="1:18" x14ac:dyDescent="0.25">
      <c r="A73" s="5">
        <v>624</v>
      </c>
      <c r="B73" s="6">
        <v>127.72543733762591</v>
      </c>
      <c r="C73" s="6">
        <f>127.725437337625 * $B$37 / 100</f>
        <v>127.725437337625</v>
      </c>
      <c r="D73" s="6">
        <v>16.09312127023567</v>
      </c>
      <c r="E73" s="7">
        <f>16.0931212702356 * $B$37 / 100</f>
        <v>16.093121270235599</v>
      </c>
    </row>
    <row r="74" spans="1:18" x14ac:dyDescent="0.25">
      <c r="A74" s="8">
        <v>640</v>
      </c>
      <c r="B74" s="9">
        <v>129.3525785697918</v>
      </c>
      <c r="C74" s="9">
        <f>129.352578569791 * $B$37 / 100</f>
        <v>129.35257856979101</v>
      </c>
      <c r="D74" s="9">
        <v>16.298137449619158</v>
      </c>
      <c r="E74" s="10">
        <f>16.2981374496191 * $B$37 / 100</f>
        <v>16.298137449619102</v>
      </c>
    </row>
    <row r="76" spans="1:18" ht="28.9" customHeight="1" x14ac:dyDescent="0.5">
      <c r="A76" s="1" t="s">
        <v>24</v>
      </c>
      <c r="B76" s="1"/>
    </row>
    <row r="77" spans="1:18" x14ac:dyDescent="0.25">
      <c r="A77" s="21" t="s">
        <v>25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26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27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18" ht="28.9" customHeight="1" x14ac:dyDescent="0.5">
      <c r="A81" s="1" t="s">
        <v>28</v>
      </c>
      <c r="B81" s="1"/>
    </row>
    <row r="82" spans="1:18" x14ac:dyDescent="0.25">
      <c r="A82" s="24" t="s">
        <v>29</v>
      </c>
      <c r="B82" s="25" t="s">
        <v>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6"/>
    </row>
    <row r="83" spans="1:18" x14ac:dyDescent="0.25">
      <c r="A83" s="27" t="s">
        <v>40</v>
      </c>
      <c r="B83" s="28">
        <v>4</v>
      </c>
      <c r="C83" s="28">
        <v>5</v>
      </c>
      <c r="D83" s="28">
        <v>6</v>
      </c>
      <c r="E83" s="28">
        <v>7</v>
      </c>
      <c r="F83" s="28">
        <v>8</v>
      </c>
      <c r="G83" s="28">
        <v>9</v>
      </c>
      <c r="H83" s="28">
        <v>10</v>
      </c>
      <c r="I83" s="28">
        <v>11</v>
      </c>
      <c r="J83" s="28">
        <v>12</v>
      </c>
      <c r="K83" s="28">
        <v>13</v>
      </c>
      <c r="L83" s="28">
        <v>14</v>
      </c>
      <c r="M83" s="28">
        <v>15</v>
      </c>
      <c r="N83" s="28">
        <v>16</v>
      </c>
      <c r="O83" s="28">
        <v>17</v>
      </c>
      <c r="P83" s="28">
        <v>18</v>
      </c>
      <c r="Q83" s="28">
        <v>19</v>
      </c>
      <c r="R83" s="29">
        <v>20</v>
      </c>
    </row>
    <row r="84" spans="1:18" x14ac:dyDescent="0.25">
      <c r="A84" s="30">
        <v>128</v>
      </c>
      <c r="B84" s="31">
        <v>4.2339511631383662</v>
      </c>
      <c r="C84" s="31">
        <v>3.482200805043465</v>
      </c>
      <c r="D84" s="31">
        <v>2.8449685357055849</v>
      </c>
      <c r="E84" s="31">
        <v>2.3142202158111278</v>
      </c>
      <c r="F84" s="31">
        <v>1.8811381743886819</v>
      </c>
      <c r="G84" s="31">
        <v>1.5361212088090339</v>
      </c>
      <c r="H84" s="31">
        <v>1.268784584785164</v>
      </c>
      <c r="I84" s="31">
        <v>1.067960036372235</v>
      </c>
      <c r="J84" s="31">
        <v>0.92169576596760949</v>
      </c>
      <c r="K84" s="31">
        <v>0.81725644431083222</v>
      </c>
      <c r="L84" s="31">
        <v>0.7411232104836537</v>
      </c>
      <c r="M84" s="31">
        <v>0.6789936719099986</v>
      </c>
      <c r="N84" s="31">
        <v>0.61578190435599789</v>
      </c>
      <c r="O84" s="31">
        <v>0.53561845192996604</v>
      </c>
      <c r="P84" s="31">
        <v>0.4218503270824116</v>
      </c>
      <c r="Q84" s="31">
        <v>0.25704101060603529</v>
      </c>
      <c r="R84" s="32">
        <v>2.2970451635733191E-2</v>
      </c>
    </row>
    <row r="85" spans="1:18" x14ac:dyDescent="0.25">
      <c r="A85" s="30">
        <v>144</v>
      </c>
      <c r="B85" s="31">
        <v>4.3268992906763888</v>
      </c>
      <c r="C85" s="31">
        <v>3.5606223372441441</v>
      </c>
      <c r="D85" s="31">
        <v>2.912589808203081</v>
      </c>
      <c r="E85" s="31">
        <v>2.3742575988674082</v>
      </c>
      <c r="F85" s="31">
        <v>1.936298072893518</v>
      </c>
      <c r="G85" s="31">
        <v>1.5886000622800041</v>
      </c>
      <c r="H85" s="31">
        <v>1.3202688673676479</v>
      </c>
      <c r="I85" s="31">
        <v>1.1196262568394231</v>
      </c>
      <c r="J85" s="31">
        <v>0.97421046772048869</v>
      </c>
      <c r="K85" s="31">
        <v>0.87077620537820211</v>
      </c>
      <c r="L85" s="31">
        <v>0.79529464352211543</v>
      </c>
      <c r="M85" s="31">
        <v>0.73295342420395704</v>
      </c>
      <c r="N85" s="31">
        <v>0.66815665781766642</v>
      </c>
      <c r="O85" s="31">
        <v>0.58452492309936022</v>
      </c>
      <c r="P85" s="31">
        <v>0.4648952671273508</v>
      </c>
      <c r="Q85" s="31">
        <v>0.29132120532214578</v>
      </c>
      <c r="R85" s="32">
        <v>4.5072721446442372E-2</v>
      </c>
    </row>
    <row r="86" spans="1:18" x14ac:dyDescent="0.25">
      <c r="A86" s="30">
        <v>160</v>
      </c>
      <c r="B86" s="31">
        <v>4.4204854833294034</v>
      </c>
      <c r="C86" s="31">
        <v>3.6381981498791389</v>
      </c>
      <c r="D86" s="31">
        <v>2.9780385156561642</v>
      </c>
      <c r="E86" s="31">
        <v>2.4309525106024878</v>
      </c>
      <c r="F86" s="31">
        <v>1.9871025330023131</v>
      </c>
      <c r="G86" s="31">
        <v>1.635867449482034</v>
      </c>
      <c r="H86" s="31">
        <v>1.365842595010238</v>
      </c>
      <c r="I86" s="31">
        <v>1.1648397728977029</v>
      </c>
      <c r="J86" s="31">
        <v>1.0198872547973969</v>
      </c>
      <c r="K86" s="31">
        <v>0.91722978070447658</v>
      </c>
      <c r="L86" s="31">
        <v>0.84232855895630143</v>
      </c>
      <c r="M86" s="31">
        <v>0.77986126623240992</v>
      </c>
      <c r="N86" s="31">
        <v>0.71372204755453705</v>
      </c>
      <c r="O86" s="31">
        <v>0.62702151628661218</v>
      </c>
      <c r="P86" s="31">
        <v>0.50208675413474524</v>
      </c>
      <c r="Q86" s="31">
        <v>0.3204613111472554</v>
      </c>
      <c r="R86" s="32">
        <v>6.2905205714641532E-2</v>
      </c>
    </row>
    <row r="87" spans="1:18" x14ac:dyDescent="0.25">
      <c r="A87" s="30">
        <v>176</v>
      </c>
      <c r="B87" s="31">
        <v>4.5155362620102473</v>
      </c>
      <c r="C87" s="31">
        <v>3.715742383499018</v>
      </c>
      <c r="D87" s="31">
        <v>3.0421164182531322</v>
      </c>
      <c r="E87" s="31">
        <v>2.4850943308423989</v>
      </c>
      <c r="F87" s="31">
        <v>2.0343285541788272</v>
      </c>
      <c r="G87" s="31">
        <v>1.678687989516616</v>
      </c>
      <c r="H87" s="31">
        <v>1.4062580064521599</v>
      </c>
      <c r="I87" s="31">
        <v>1.2043404429240381</v>
      </c>
      <c r="J87" s="31">
        <v>1.059453605213023</v>
      </c>
      <c r="K87" s="31">
        <v>0.95733226794208215</v>
      </c>
      <c r="L87" s="31">
        <v>0.88292767407637263</v>
      </c>
      <c r="M87" s="31">
        <v>0.82040753492324248</v>
      </c>
      <c r="N87" s="31">
        <v>0.75315603013222876</v>
      </c>
      <c r="O87" s="31">
        <v>0.66377380769506722</v>
      </c>
      <c r="P87" s="31">
        <v>0.53407798394567507</v>
      </c>
      <c r="Q87" s="31">
        <v>0.34510214356016983</v>
      </c>
      <c r="R87" s="32">
        <v>7.7096339556866234E-2</v>
      </c>
    </row>
    <row r="88" spans="1:18" x14ac:dyDescent="0.25">
      <c r="A88" s="30">
        <v>192</v>
      </c>
      <c r="B88" s="31">
        <v>4.6128466970118538</v>
      </c>
      <c r="C88" s="31">
        <v>3.794037728034453</v>
      </c>
      <c r="D88" s="31">
        <v>3.1055938255623881</v>
      </c>
      <c r="E88" s="31">
        <v>2.5374409887932772</v>
      </c>
      <c r="F88" s="31">
        <v>2.078721685266931</v>
      </c>
      <c r="G88" s="31">
        <v>1.717794850865354</v>
      </c>
      <c r="H88" s="31">
        <v>1.442235889812745</v>
      </c>
      <c r="I88" s="31">
        <v>1.2388366746754911</v>
      </c>
      <c r="J88" s="31">
        <v>1.0936055463621679</v>
      </c>
      <c r="K88" s="31">
        <v>0.9917673141235458</v>
      </c>
      <c r="L88" s="31">
        <v>0.91776325555259031</v>
      </c>
      <c r="M88" s="31">
        <v>0.85525111658445052</v>
      </c>
      <c r="N88" s="31">
        <v>0.78710511149647222</v>
      </c>
      <c r="O88" s="31">
        <v>0.69541592290819298</v>
      </c>
      <c r="P88" s="31">
        <v>0.56149070178134153</v>
      </c>
      <c r="Q88" s="31">
        <v>0.3658530674198292</v>
      </c>
      <c r="R88" s="32">
        <v>8.824310746978449E-2</v>
      </c>
    </row>
    <row r="89" spans="1:18" x14ac:dyDescent="0.25">
      <c r="A89" s="30">
        <v>208</v>
      </c>
      <c r="B89" s="31">
        <v>4.7131804080072834</v>
      </c>
      <c r="C89" s="31">
        <v>3.8738354227962342</v>
      </c>
      <c r="D89" s="31">
        <v>3.1692095965324572</v>
      </c>
      <c r="E89" s="31">
        <v>2.5887189630413761</v>
      </c>
      <c r="F89" s="31">
        <v>2.120996024490609</v>
      </c>
      <c r="G89" s="31">
        <v>1.7538897513899669</v>
      </c>
      <c r="H89" s="31">
        <v>1.4744655825914481</v>
      </c>
      <c r="I89" s="31">
        <v>1.2690054252892471</v>
      </c>
      <c r="J89" s="31">
        <v>1.1230076550197461</v>
      </c>
      <c r="K89" s="31">
        <v>1.021187115661518</v>
      </c>
      <c r="L89" s="31">
        <v>0.94747511943533302</v>
      </c>
      <c r="M89" s="31">
        <v>0.8850194469041488</v>
      </c>
      <c r="N89" s="31">
        <v>0.81618434697311315</v>
      </c>
      <c r="O89" s="31">
        <v>0.72255053688956739</v>
      </c>
      <c r="P89" s="31">
        <v>0.58491520224304494</v>
      </c>
      <c r="Q89" s="31">
        <v>0.38329199696527361</v>
      </c>
      <c r="R89" s="32">
        <v>9.6911043330161206E-2</v>
      </c>
    </row>
    <row r="90" spans="1:18" x14ac:dyDescent="0.25">
      <c r="A90" s="30">
        <v>224</v>
      </c>
      <c r="B90" s="31">
        <v>4.8172695640496963</v>
      </c>
      <c r="C90" s="31">
        <v>3.9558552564752518</v>
      </c>
      <c r="D90" s="31">
        <v>3.2336711394919622</v>
      </c>
      <c r="E90" s="31">
        <v>2.6396232815530571</v>
      </c>
      <c r="F90" s="31">
        <v>2.161834219453957</v>
      </c>
      <c r="G90" s="31">
        <v>1.787642958332277</v>
      </c>
      <c r="H90" s="31">
        <v>1.5036049716678239</v>
      </c>
      <c r="I90" s="31">
        <v>1.295492201282596</v>
      </c>
      <c r="J90" s="31">
        <v>1.1482930573407779</v>
      </c>
      <c r="K90" s="31">
        <v>1.046212418348752</v>
      </c>
      <c r="L90" s="31">
        <v>0.97267163115508903</v>
      </c>
      <c r="M90" s="31">
        <v>0.91030851095055487</v>
      </c>
      <c r="N90" s="31">
        <v>0.84097734126809931</v>
      </c>
      <c r="O90" s="31">
        <v>0.74574887398287282</v>
      </c>
      <c r="P90" s="31">
        <v>0.60491032931221167</v>
      </c>
      <c r="Q90" s="31">
        <v>0.39796539581564261</v>
      </c>
      <c r="R90" s="32">
        <v>0.1036342303948885</v>
      </c>
    </row>
    <row r="91" spans="1:18" x14ac:dyDescent="0.25">
      <c r="A91" s="30">
        <v>240</v>
      </c>
      <c r="B91" s="31">
        <v>4.9258148835723734</v>
      </c>
      <c r="C91" s="31">
        <v>4.0407855671425219</v>
      </c>
      <c r="D91" s="31">
        <v>3.2996544121496481</v>
      </c>
      <c r="E91" s="31">
        <v>2.6908175216747932</v>
      </c>
      <c r="F91" s="31">
        <v>2.201887467141177</v>
      </c>
      <c r="G91" s="31">
        <v>1.8196932883142249</v>
      </c>
      <c r="H91" s="31">
        <v>1.5302804933015459</v>
      </c>
      <c r="I91" s="31">
        <v>1.318911058552942</v>
      </c>
      <c r="J91" s="31">
        <v>1.1700634288604039</v>
      </c>
      <c r="K91" s="31">
        <v>1.0674325173581181</v>
      </c>
      <c r="L91" s="31">
        <v>0.99392970552246374</v>
      </c>
      <c r="M91" s="31">
        <v>0.93168284317200312</v>
      </c>
      <c r="N91" s="31">
        <v>0.86203624846750293</v>
      </c>
      <c r="O91" s="31">
        <v>0.76555070791190694</v>
      </c>
      <c r="P91" s="31">
        <v>0.6220034763503639</v>
      </c>
      <c r="Q91" s="31">
        <v>0.41038827697019709</v>
      </c>
      <c r="R91" s="32">
        <v>0.10891530130095541</v>
      </c>
    </row>
    <row r="92" spans="1:18" x14ac:dyDescent="0.25">
      <c r="A92" s="30">
        <v>256</v>
      </c>
      <c r="B92" s="31">
        <v>5.0394856343887042</v>
      </c>
      <c r="C92" s="31">
        <v>4.129283242249163</v>
      </c>
      <c r="D92" s="31">
        <v>3.3678039215943709</v>
      </c>
      <c r="E92" s="31">
        <v>2.7429338101331711</v>
      </c>
      <c r="F92" s="31">
        <v>2.2417755139165938</v>
      </c>
      <c r="G92" s="31">
        <v>1.8506481073378629</v>
      </c>
      <c r="H92" s="31">
        <v>1.5550871331323961</v>
      </c>
      <c r="I92" s="31">
        <v>1.339844602377799</v>
      </c>
      <c r="J92" s="31">
        <v>1.188888994493871</v>
      </c>
      <c r="K92" s="31">
        <v>1.0854052572425961</v>
      </c>
      <c r="L92" s="31">
        <v>1.0117948067281639</v>
      </c>
      <c r="M92" s="31">
        <v>0.94967552739694161</v>
      </c>
      <c r="N92" s="31">
        <v>0.87988177203749784</v>
      </c>
      <c r="O92" s="31">
        <v>0.78246436178058532</v>
      </c>
      <c r="P92" s="31">
        <v>0.63669058609914952</v>
      </c>
      <c r="Q92" s="31">
        <v>0.42104420280833571</v>
      </c>
      <c r="R92" s="32">
        <v>0.1132254380654736</v>
      </c>
    </row>
    <row r="93" spans="1:18" x14ac:dyDescent="0.25">
      <c r="A93" s="30">
        <v>272</v>
      </c>
      <c r="B93" s="31">
        <v>5.1589196336921912</v>
      </c>
      <c r="C93" s="31">
        <v>4.2219737186264084</v>
      </c>
      <c r="D93" s="31">
        <v>3.438732724295094</v>
      </c>
      <c r="E93" s="31">
        <v>2.7965728230348899</v>
      </c>
      <c r="F93" s="31">
        <v>2.2820866555246351</v>
      </c>
      <c r="G93" s="31">
        <v>1.8810833307853541</v>
      </c>
      <c r="H93" s="31">
        <v>1.578588426180271</v>
      </c>
      <c r="I93" s="31">
        <v>1.3588439874147979</v>
      </c>
      <c r="J93" s="31">
        <v>1.2053085285365379</v>
      </c>
      <c r="K93" s="31">
        <v>1.1006570319352831</v>
      </c>
      <c r="L93" s="31">
        <v>1.026780948343021</v>
      </c>
      <c r="M93" s="31">
        <v>0.96478819683392691</v>
      </c>
      <c r="N93" s="31">
        <v>0.89500316482437603</v>
      </c>
      <c r="O93" s="31">
        <v>0.7969667080729228</v>
      </c>
      <c r="P93" s="31">
        <v>0.64943615068032567</v>
      </c>
      <c r="Q93" s="31">
        <v>0.43038528508952278</v>
      </c>
      <c r="R93" s="32">
        <v>0.1170043720856562</v>
      </c>
    </row>
    <row r="94" spans="1:18" x14ac:dyDescent="0.25">
      <c r="A94" s="30">
        <v>288</v>
      </c>
      <c r="B94" s="31">
        <v>5.2847232480564346</v>
      </c>
      <c r="C94" s="31">
        <v>4.3194509824856011</v>
      </c>
      <c r="D94" s="31">
        <v>3.513022426100894</v>
      </c>
      <c r="E94" s="31">
        <v>2.8523037858667579</v>
      </c>
      <c r="F94" s="31">
        <v>2.3233777370898401</v>
      </c>
      <c r="G94" s="31">
        <v>1.9115434234189701</v>
      </c>
      <c r="H94" s="31">
        <v>1.601316456845177</v>
      </c>
      <c r="I94" s="31">
        <v>1.3764289177016771</v>
      </c>
      <c r="J94" s="31">
        <v>1.219829354663877</v>
      </c>
      <c r="K94" s="31">
        <v>1.113682784749372</v>
      </c>
      <c r="L94" s="31">
        <v>1.0393706933179649</v>
      </c>
      <c r="M94" s="31">
        <v>0.97749103407162374</v>
      </c>
      <c r="N94" s="31">
        <v>0.90785822905453573</v>
      </c>
      <c r="O94" s="31">
        <v>0.80950316865305805</v>
      </c>
      <c r="P94" s="31">
        <v>0.66067321159575265</v>
      </c>
      <c r="Q94" s="31">
        <v>0.43883218495336418</v>
      </c>
      <c r="R94" s="32">
        <v>0.12066038413884431</v>
      </c>
    </row>
    <row r="95" spans="1:18" x14ac:dyDescent="0.25">
      <c r="A95" s="30">
        <v>304</v>
      </c>
      <c r="B95" s="31">
        <v>5.4174713934351706</v>
      </c>
      <c r="C95" s="31">
        <v>4.4222775694182008</v>
      </c>
      <c r="D95" s="31">
        <v>3.591223182240959</v>
      </c>
      <c r="E95" s="31">
        <v>2.910664473495697</v>
      </c>
      <c r="F95" s="31">
        <v>2.366174153116865</v>
      </c>
      <c r="G95" s="31">
        <v>1.9425413993811</v>
      </c>
      <c r="H95" s="31">
        <v>1.6237718589072321</v>
      </c>
      <c r="I95" s="31">
        <v>1.3930876466562849</v>
      </c>
      <c r="J95" s="31">
        <v>1.2329273459314689</v>
      </c>
      <c r="K95" s="31">
        <v>1.1249460083781899</v>
      </c>
      <c r="L95" s="31">
        <v>1.0500151539840441</v>
      </c>
      <c r="M95" s="31">
        <v>0.98822277107882017</v>
      </c>
      <c r="N95" s="31">
        <v>0.91887331633449298</v>
      </c>
      <c r="O95" s="31">
        <v>0.82048771476523463</v>
      </c>
      <c r="P95" s="31">
        <v>0.67080335972741256</v>
      </c>
      <c r="Q95" s="31">
        <v>0.44677411291957192</v>
      </c>
      <c r="R95" s="32">
        <v>0.1245703043824644</v>
      </c>
    </row>
    <row r="96" spans="1:18" x14ac:dyDescent="0.25">
      <c r="A96" s="30">
        <v>320</v>
      </c>
      <c r="B96" s="31">
        <v>5.5577075351622263</v>
      </c>
      <c r="C96" s="31">
        <v>4.5309845643957702</v>
      </c>
      <c r="D96" s="31">
        <v>3.6738536973245872</v>
      </c>
      <c r="E96" s="31">
        <v>2.9721612101687391</v>
      </c>
      <c r="F96" s="31">
        <v>2.4109698474904731</v>
      </c>
      <c r="G96" s="31">
        <v>1.9745588221942361</v>
      </c>
      <c r="H96" s="31">
        <v>1.6464238155266651</v>
      </c>
      <c r="I96" s="31">
        <v>1.4092769770765849</v>
      </c>
      <c r="J96" s="31">
        <v>1.2450469247750131</v>
      </c>
      <c r="K96" s="31">
        <v>1.1348787448951549</v>
      </c>
      <c r="L96" s="31">
        <v>1.059133992052421</v>
      </c>
      <c r="M96" s="31">
        <v>0.99739068920439644</v>
      </c>
      <c r="N96" s="31">
        <v>0.92844332765086668</v>
      </c>
      <c r="O96" s="31">
        <v>0.83030286703380995</v>
      </c>
      <c r="P96" s="31">
        <v>0.68019673533738889</v>
      </c>
      <c r="Q96" s="31">
        <v>0.45456882888796452</v>
      </c>
      <c r="R96" s="32">
        <v>0.1290795123540853</v>
      </c>
    </row>
    <row r="97" spans="1:18" x14ac:dyDescent="0.25">
      <c r="A97" s="30">
        <v>336</v>
      </c>
      <c r="B97" s="31">
        <v>5.7059436879515548</v>
      </c>
      <c r="C97" s="31">
        <v>4.6460716017699886</v>
      </c>
      <c r="D97" s="31">
        <v>3.761401225341193</v>
      </c>
      <c r="E97" s="31">
        <v>3.0372688695130239</v>
      </c>
      <c r="F97" s="31">
        <v>2.4582273134755401</v>
      </c>
      <c r="G97" s="31">
        <v>2.008045804760989</v>
      </c>
      <c r="H97" s="31">
        <v>1.669710059243815</v>
      </c>
      <c r="I97" s="31">
        <v>1.425422261140648</v>
      </c>
      <c r="J97" s="31">
        <v>1.2566010630103071</v>
      </c>
      <c r="K97" s="31">
        <v>1.1438815857538089</v>
      </c>
      <c r="L97" s="31">
        <v>1.0671154186143661</v>
      </c>
      <c r="M97" s="31">
        <v>1.0053706191773599</v>
      </c>
      <c r="N97" s="31">
        <v>0.93693171337039549</v>
      </c>
      <c r="O97" s="31">
        <v>0.8392996954632429</v>
      </c>
      <c r="P97" s="31">
        <v>0.68919202806787982</v>
      </c>
      <c r="Q97" s="31">
        <v>0.46254264213846241</v>
      </c>
      <c r="R97" s="32">
        <v>0.13450193697135579</v>
      </c>
    </row>
    <row r="98" spans="1:18" x14ac:dyDescent="0.25">
      <c r="A98" s="30">
        <v>352</v>
      </c>
      <c r="B98" s="31">
        <v>5.8626604158972144</v>
      </c>
      <c r="C98" s="31">
        <v>4.7680068652726586</v>
      </c>
      <c r="D98" s="31">
        <v>3.8543215696603008</v>
      </c>
      <c r="E98" s="31">
        <v>3.106430874535814</v>
      </c>
      <c r="F98" s="31">
        <v>2.5083775937170558</v>
      </c>
      <c r="G98" s="31">
        <v>2.0434210093640819</v>
      </c>
      <c r="H98" s="31">
        <v>1.6940368719791401</v>
      </c>
      <c r="I98" s="31">
        <v>1.4419174004066639</v>
      </c>
      <c r="J98" s="31">
        <v>1.267971281833278</v>
      </c>
      <c r="K98" s="31">
        <v>1.1523236717878029</v>
      </c>
      <c r="L98" s="31">
        <v>1.074316194141256</v>
      </c>
      <c r="M98" s="31">
        <v>1.012506941106831</v>
      </c>
      <c r="N98" s="31">
        <v>0.94467047323992626</v>
      </c>
      <c r="O98" s="31">
        <v>0.84779781943812449</v>
      </c>
      <c r="P98" s="31">
        <v>0.69809647694120536</v>
      </c>
      <c r="Q98" s="31">
        <v>0.47099041133113839</v>
      </c>
      <c r="R98" s="32">
        <v>0.14112005653208121</v>
      </c>
    </row>
    <row r="99" spans="1:18" x14ac:dyDescent="0.25">
      <c r="A99" s="30">
        <v>368</v>
      </c>
      <c r="B99" s="31">
        <v>6.0283068324733691</v>
      </c>
      <c r="C99" s="31">
        <v>4.8972270880156676</v>
      </c>
      <c r="D99" s="31">
        <v>3.9530390830315421</v>
      </c>
      <c r="E99" s="31">
        <v>3.1800591976244719</v>
      </c>
      <c r="F99" s="31">
        <v>2.5618202802401191</v>
      </c>
      <c r="G99" s="31">
        <v>2.081071647666346</v>
      </c>
      <c r="H99" s="31">
        <v>1.7197790850331991</v>
      </c>
      <c r="I99" s="31">
        <v>1.459124845812924</v>
      </c>
      <c r="J99" s="31">
        <v>1.279507651819948</v>
      </c>
      <c r="K99" s="31">
        <v>1.160542693210898</v>
      </c>
      <c r="L99" s="31">
        <v>1.0810616284845911</v>
      </c>
      <c r="M99" s="31">
        <v>1.019112584482029</v>
      </c>
      <c r="N99" s="31">
        <v>0.95196015638641984</v>
      </c>
      <c r="O99" s="31">
        <v>0.85608540772314479</v>
      </c>
      <c r="P99" s="31">
        <v>0.70718587035978253</v>
      </c>
      <c r="Q99" s="31">
        <v>0.48017554450611932</v>
      </c>
      <c r="R99" s="32">
        <v>0.1491848987141165</v>
      </c>
    </row>
    <row r="100" spans="1:18" x14ac:dyDescent="0.25">
      <c r="A100" s="30">
        <v>384</v>
      </c>
      <c r="B100" s="31">
        <v>6.2033006005343081</v>
      </c>
      <c r="C100" s="31">
        <v>5.0341375524910372</v>
      </c>
      <c r="D100" s="31">
        <v>4.0579466675846678</v>
      </c>
      <c r="E100" s="31">
        <v>3.2585343605464798</v>
      </c>
      <c r="F100" s="31">
        <v>2.618923514449945</v>
      </c>
      <c r="G100" s="31">
        <v>2.1213534807107228</v>
      </c>
      <c r="H100" s="31">
        <v>1.7472800790866749</v>
      </c>
      <c r="I100" s="31">
        <v>1.4773755976778431</v>
      </c>
      <c r="J100" s="31">
        <v>1.2915287929264641</v>
      </c>
      <c r="K100" s="31">
        <v>1.168844889616967</v>
      </c>
      <c r="L100" s="31">
        <v>1.087645580875976</v>
      </c>
      <c r="M100" s="31">
        <v>1.0254690281723</v>
      </c>
      <c r="N100" s="31">
        <v>0.95906986131694238</v>
      </c>
      <c r="O100" s="31">
        <v>0.86441917846309868</v>
      </c>
      <c r="P100" s="31">
        <v>0.71670454610615675</v>
      </c>
      <c r="Q100" s="31">
        <v>0.4903299990836949</v>
      </c>
      <c r="R100" s="32">
        <v>0.15891604057548209</v>
      </c>
    </row>
    <row r="101" spans="1:18" x14ac:dyDescent="0.25">
      <c r="A101" s="30">
        <v>400</v>
      </c>
      <c r="B101" s="31">
        <v>6.3880279323144151</v>
      </c>
      <c r="C101" s="31">
        <v>5.1791120905708894</v>
      </c>
      <c r="D101" s="31">
        <v>4.1694057748295306</v>
      </c>
      <c r="E101" s="31">
        <v>3.3422054344494252</v>
      </c>
      <c r="F101" s="31">
        <v>2.6800239871318499</v>
      </c>
      <c r="G101" s="31">
        <v>2.1645908189202698</v>
      </c>
      <c r="H101" s="31">
        <v>1.7768517842003491</v>
      </c>
      <c r="I101" s="31">
        <v>1.496969205699936</v>
      </c>
      <c r="J101" s="31">
        <v>1.304321874489073</v>
      </c>
      <c r="K101" s="31">
        <v>1.1775050499799931</v>
      </c>
      <c r="L101" s="31">
        <v>1.094330459927126</v>
      </c>
      <c r="M101" s="31">
        <v>1.0318263004270829</v>
      </c>
      <c r="N101" s="31">
        <v>0.96623723591867916</v>
      </c>
      <c r="O101" s="31">
        <v>0.87302439918290475</v>
      </c>
      <c r="P101" s="31">
        <v>0.72686539134296613</v>
      </c>
      <c r="Q101" s="31">
        <v>0.50165428186423167</v>
      </c>
      <c r="R101" s="32">
        <v>0.17050160855428759</v>
      </c>
    </row>
    <row r="102" spans="1:18" x14ac:dyDescent="0.25">
      <c r="A102" s="30">
        <v>416</v>
      </c>
      <c r="B102" s="31">
        <v>6.5828435894282054</v>
      </c>
      <c r="C102" s="31">
        <v>5.3324930835074644</v>
      </c>
      <c r="D102" s="31">
        <v>4.2877464056561037</v>
      </c>
      <c r="E102" s="31">
        <v>3.4313900398610122</v>
      </c>
      <c r="F102" s="31">
        <v>2.7454269384512702</v>
      </c>
      <c r="G102" s="31">
        <v>2.2110765220981521</v>
      </c>
      <c r="H102" s="31">
        <v>1.8087746798151221</v>
      </c>
      <c r="I102" s="31">
        <v>1.518173768957835</v>
      </c>
      <c r="J102" s="31">
        <v>1.318142615224142</v>
      </c>
      <c r="K102" s="31">
        <v>1.1867665126540741</v>
      </c>
      <c r="L102" s="31">
        <v>1.10134722362987</v>
      </c>
      <c r="M102" s="31">
        <v>1.038402978875947</v>
      </c>
      <c r="N102" s="31">
        <v>0.97366847745892371</v>
      </c>
      <c r="O102" s="31">
        <v>0.88209488678759673</v>
      </c>
      <c r="P102" s="31">
        <v>0.73784984261297126</v>
      </c>
      <c r="Q102" s="31">
        <v>0.51431744902822452</v>
      </c>
      <c r="R102" s="32">
        <v>0.18409827846874369</v>
      </c>
    </row>
    <row r="103" spans="1:18" x14ac:dyDescent="0.25">
      <c r="A103" s="30">
        <v>432</v>
      </c>
      <c r="B103" s="31">
        <v>6.7880708828702874</v>
      </c>
      <c r="C103" s="31">
        <v>5.4945914619331129</v>
      </c>
      <c r="D103" s="31">
        <v>4.4132671103344663</v>
      </c>
      <c r="E103" s="31">
        <v>3.526374346689054</v>
      </c>
      <c r="F103" s="31">
        <v>2.8154061579537561</v>
      </c>
      <c r="G103" s="31">
        <v>2.2610719994276489</v>
      </c>
      <c r="H103" s="31">
        <v>1.8432977947520079</v>
      </c>
      <c r="I103" s="31">
        <v>1.5412259359102889</v>
      </c>
      <c r="J103" s="31">
        <v>1.3332152832281461</v>
      </c>
      <c r="K103" s="31">
        <v>1.1968411653734219</v>
      </c>
      <c r="L103" s="31">
        <v>1.1088953793561549</v>
      </c>
      <c r="M103" s="31">
        <v>1.0453861905285671</v>
      </c>
      <c r="N103" s="31">
        <v>0.98153833258508105</v>
      </c>
      <c r="O103" s="31">
        <v>0.89179300756230095</v>
      </c>
      <c r="P103" s="31">
        <v>0.74980788583903191</v>
      </c>
      <c r="Q103" s="31">
        <v>0.52845710613627073</v>
      </c>
      <c r="R103" s="32">
        <v>0.19983127551720339</v>
      </c>
    </row>
    <row r="104" spans="1:18" x14ac:dyDescent="0.25">
      <c r="A104" s="30">
        <v>448</v>
      </c>
      <c r="B104" s="31">
        <v>7.0040016730153987</v>
      </c>
      <c r="C104" s="31">
        <v>5.6656867058602893</v>
      </c>
      <c r="D104" s="31">
        <v>4.5462349885148194</v>
      </c>
      <c r="E104" s="31">
        <v>3.627413074221479</v>
      </c>
      <c r="F104" s="31">
        <v>2.8902039845649621</v>
      </c>
      <c r="G104" s="31">
        <v>2.3148072094721539</v>
      </c>
      <c r="H104" s="31">
        <v>1.880638707212128</v>
      </c>
      <c r="I104" s="31">
        <v>1.5663309043961511</v>
      </c>
      <c r="J104" s="31">
        <v>1.3497326959776761</v>
      </c>
      <c r="K104" s="31">
        <v>1.207909445252354</v>
      </c>
      <c r="L104" s="31">
        <v>1.117142983858026</v>
      </c>
      <c r="M104" s="31">
        <v>1.0529316117747249</v>
      </c>
      <c r="N104" s="31">
        <v>0.98999009732466781</v>
      </c>
      <c r="O104" s="31">
        <v>0.90224967717228066</v>
      </c>
      <c r="P104" s="31">
        <v>0.76285805632415815</v>
      </c>
      <c r="Q104" s="31">
        <v>0.54417940812910348</v>
      </c>
      <c r="R104" s="32">
        <v>0.217794374278105</v>
      </c>
    </row>
    <row r="105" spans="1:18" x14ac:dyDescent="0.25">
      <c r="A105" s="30">
        <v>464</v>
      </c>
      <c r="B105" s="31">
        <v>7.2308963696183666</v>
      </c>
      <c r="C105" s="31">
        <v>5.8460268446815737</v>
      </c>
      <c r="D105" s="31">
        <v>4.686885689227454</v>
      </c>
      <c r="E105" s="31">
        <v>3.7347294911263158</v>
      </c>
      <c r="F105" s="31">
        <v>2.9700313065906578</v>
      </c>
      <c r="G105" s="31">
        <v>2.3724806601751629</v>
      </c>
      <c r="H105" s="31">
        <v>1.9209835447767141</v>
      </c>
      <c r="I105" s="31">
        <v>1.59366242163438</v>
      </c>
      <c r="J105" s="31">
        <v>1.367856220329424</v>
      </c>
      <c r="K105" s="31">
        <v>1.2201203387852999</v>
      </c>
      <c r="L105" s="31">
        <v>1.1262266432676491</v>
      </c>
      <c r="M105" s="31">
        <v>1.061163468384311</v>
      </c>
      <c r="N105" s="31">
        <v>0.99913561708531506</v>
      </c>
      <c r="O105" s="31">
        <v>0.91356436066287672</v>
      </c>
      <c r="P105" s="31">
        <v>0.77708743875141451</v>
      </c>
      <c r="Q105" s="31">
        <v>0.56155905932752492</v>
      </c>
      <c r="R105" s="32">
        <v>0.2380498987100044</v>
      </c>
    </row>
    <row r="106" spans="1:18" x14ac:dyDescent="0.25">
      <c r="A106" s="30">
        <v>480</v>
      </c>
      <c r="B106" s="31">
        <v>7.4689839318141491</v>
      </c>
      <c r="C106" s="31">
        <v>6.0358284571696386</v>
      </c>
      <c r="D106" s="31">
        <v>4.835423410882794</v>
      </c>
      <c r="E106" s="31">
        <v>3.8485154154517192</v>
      </c>
      <c r="F106" s="31">
        <v>3.0550675617167209</v>
      </c>
      <c r="G106" s="31">
        <v>2.43425940886029</v>
      </c>
      <c r="H106" s="31">
        <v>1.964486984407112</v>
      </c>
      <c r="I106" s="31">
        <v>1.6233627842240601</v>
      </c>
      <c r="J106" s="31">
        <v>1.3877157725202021</v>
      </c>
      <c r="K106" s="31">
        <v>1.2335913818467941</v>
      </c>
      <c r="L106" s="31">
        <v>1.136251513097295</v>
      </c>
      <c r="M106" s="31">
        <v>1.0701745355073351</v>
      </c>
      <c r="N106" s="31">
        <v>1.0090552866547571</v>
      </c>
      <c r="O106" s="31">
        <v>0.92580507245957666</v>
      </c>
      <c r="P106" s="31">
        <v>0.79255166718401526</v>
      </c>
      <c r="Q106" s="31">
        <v>0.58063931343247432</v>
      </c>
      <c r="R106" s="32">
        <v>0.26062872215157112</v>
      </c>
    </row>
    <row r="107" spans="1:18" x14ac:dyDescent="0.25">
      <c r="A107" s="30">
        <v>496</v>
      </c>
      <c r="B107" s="31">
        <v>7.7184618681178154</v>
      </c>
      <c r="C107" s="31">
        <v>6.2352766714772914</v>
      </c>
      <c r="D107" s="31">
        <v>4.9920209012713634</v>
      </c>
      <c r="E107" s="31">
        <v>3.9689312146259512</v>
      </c>
      <c r="F107" s="31">
        <v>3.1454607370091519</v>
      </c>
      <c r="G107" s="31">
        <v>2.5002790622312658</v>
      </c>
      <c r="H107" s="31">
        <v>2.0112722524447819</v>
      </c>
      <c r="I107" s="31">
        <v>1.655542838144382</v>
      </c>
      <c r="J107" s="31">
        <v>1.409409818166937</v>
      </c>
      <c r="K107" s="31">
        <v>1.24840865969151</v>
      </c>
      <c r="L107" s="31">
        <v>1.1472912982393551</v>
      </c>
      <c r="M107" s="31">
        <v>1.080026137673924</v>
      </c>
      <c r="N107" s="31">
        <v>1.0197980502008459</v>
      </c>
      <c r="O107" s="31">
        <v>0.93900837636796053</v>
      </c>
      <c r="P107" s="31">
        <v>0.80927492506527898</v>
      </c>
      <c r="Q107" s="31">
        <v>0.60143197352501332</v>
      </c>
      <c r="R107" s="32">
        <v>0.28553026732158499</v>
      </c>
    </row>
    <row r="108" spans="1:18" x14ac:dyDescent="0.25">
      <c r="A108" s="30">
        <v>512</v>
      </c>
      <c r="B108" s="31">
        <v>7.9794962364245317</v>
      </c>
      <c r="C108" s="31">
        <v>6.4445251651374402</v>
      </c>
      <c r="D108" s="31">
        <v>5.1568194575638149</v>
      </c>
      <c r="E108" s="31">
        <v>4.0961058054573822</v>
      </c>
      <c r="F108" s="31">
        <v>3.2413273689140478</v>
      </c>
      <c r="G108" s="31">
        <v>2.5706437763719219</v>
      </c>
      <c r="H108" s="31">
        <v>2.061431124611294</v>
      </c>
      <c r="I108" s="31">
        <v>1.6902819787546459</v>
      </c>
      <c r="J108" s="31">
        <v>1.4330053722666629</v>
      </c>
      <c r="K108" s="31">
        <v>1.264626806954203</v>
      </c>
      <c r="L108" s="31">
        <v>1.1593882529663331</v>
      </c>
      <c r="M108" s="31">
        <v>1.090748148794302</v>
      </c>
      <c r="N108" s="31">
        <v>1.0313814012715561</v>
      </c>
      <c r="O108" s="31">
        <v>0.95317938557372284</v>
      </c>
      <c r="P108" s="31">
        <v>0.82724994521863149</v>
      </c>
      <c r="Q108" s="31">
        <v>0.62391739206629959</v>
      </c>
      <c r="R108" s="32">
        <v>0.31272250631895032</v>
      </c>
    </row>
    <row r="109" spans="1:18" x14ac:dyDescent="0.25">
      <c r="A109" s="30">
        <v>528</v>
      </c>
      <c r="B109" s="31">
        <v>8.2522216440095875</v>
      </c>
      <c r="C109" s="31">
        <v>6.6636961650630901</v>
      </c>
      <c r="D109" s="31">
        <v>5.3299289263108847</v>
      </c>
      <c r="E109" s="31">
        <v>4.2301366541344914</v>
      </c>
      <c r="F109" s="31">
        <v>3.3427525432576299</v>
      </c>
      <c r="G109" s="31">
        <v>2.6454262567462101</v>
      </c>
      <c r="H109" s="31">
        <v>2.115023926008325</v>
      </c>
      <c r="I109" s="31">
        <v>1.727628150794267</v>
      </c>
      <c r="J109" s="31">
        <v>1.4585379991965199</v>
      </c>
      <c r="K109" s="31">
        <v>1.2822690076497529</v>
      </c>
      <c r="L109" s="31">
        <v>1.1725531809308321</v>
      </c>
      <c r="M109" s="31">
        <v>1.1023389921588149</v>
      </c>
      <c r="N109" s="31">
        <v>1.0437913827949521</v>
      </c>
      <c r="O109" s="31">
        <v>0.96829176264267525</v>
      </c>
      <c r="P109" s="31">
        <v>0.8464380098476213</v>
      </c>
      <c r="Q109" s="31">
        <v>0.64804447089761652</v>
      </c>
      <c r="R109" s="32">
        <v>0.34214196062266028</v>
      </c>
    </row>
    <row r="110" spans="1:18" x14ac:dyDescent="0.25">
      <c r="A110" s="30">
        <v>544</v>
      </c>
      <c r="B110" s="31">
        <v>8.5367412475283828</v>
      </c>
      <c r="C110" s="31">
        <v>6.8928804475473848</v>
      </c>
      <c r="D110" s="31">
        <v>5.5114277034434389</v>
      </c>
      <c r="E110" s="31">
        <v>4.3710897762258814</v>
      </c>
      <c r="F110" s="31">
        <v>3.4497898952462251</v>
      </c>
      <c r="G110" s="31">
        <v>2.7246677581981871</v>
      </c>
      <c r="H110" s="31">
        <v>2.172079531117669</v>
      </c>
      <c r="I110" s="31">
        <v>1.767597848382765</v>
      </c>
      <c r="J110" s="31">
        <v>1.486011812713768</v>
      </c>
      <c r="K110" s="31">
        <v>1.3013269951731481</v>
      </c>
      <c r="L110" s="31">
        <v>1.186765435165577</v>
      </c>
      <c r="M110" s="31">
        <v>1.114765640437918</v>
      </c>
      <c r="N110" s="31">
        <v>1.056982587079224</v>
      </c>
      <c r="O110" s="31">
        <v>0.98428771952072946</v>
      </c>
      <c r="P110" s="31">
        <v>0.86676895053588965</v>
      </c>
      <c r="Q110" s="31">
        <v>0.67373066124031655</v>
      </c>
      <c r="R110" s="32">
        <v>0.37369370109183292</v>
      </c>
    </row>
    <row r="111" spans="1:18" x14ac:dyDescent="0.25">
      <c r="A111" s="30">
        <v>560</v>
      </c>
      <c r="B111" s="31">
        <v>8.833126753016419</v>
      </c>
      <c r="C111" s="31">
        <v>7.1321373382635569</v>
      </c>
      <c r="D111" s="31">
        <v>5.7013627342724567</v>
      </c>
      <c r="E111" s="31">
        <v>4.5189997366802519</v>
      </c>
      <c r="F111" s="31">
        <v>3.562461609466272</v>
      </c>
      <c r="G111" s="31">
        <v>2.808378084952027</v>
      </c>
      <c r="H111" s="31">
        <v>2.2325953638012321</v>
      </c>
      <c r="I111" s="31">
        <v>1.810176115019787</v>
      </c>
      <c r="J111" s="31">
        <v>1.515399475955777</v>
      </c>
      <c r="K111" s="31">
        <v>1.3217610522994889</v>
      </c>
      <c r="L111" s="31">
        <v>1.2019729180834029</v>
      </c>
      <c r="M111" s="31">
        <v>1.127963615682176</v>
      </c>
      <c r="N111" s="31">
        <v>1.070878155812671</v>
      </c>
      <c r="O111" s="31">
        <v>1.0010780175339331</v>
      </c>
      <c r="P111" s="31">
        <v>0.88814114824720491</v>
      </c>
      <c r="Q111" s="31">
        <v>0.70086196369592801</v>
      </c>
      <c r="R111" s="32">
        <v>0.4072513479657065</v>
      </c>
    </row>
    <row r="112" spans="1:18" x14ac:dyDescent="0.25">
      <c r="A112" s="30">
        <v>576</v>
      </c>
      <c r="B112" s="31">
        <v>9.1414184158893228</v>
      </c>
      <c r="C112" s="31">
        <v>7.3814947122649626</v>
      </c>
      <c r="D112" s="31">
        <v>5.8997495134890201</v>
      </c>
      <c r="E112" s="31">
        <v>4.6738696498264254</v>
      </c>
      <c r="F112" s="31">
        <v>3.6807584198843148</v>
      </c>
      <c r="G112" s="31">
        <v>2.89653559061201</v>
      </c>
      <c r="H112" s="31">
        <v>2.2965373973010261</v>
      </c>
      <c r="I112" s="31">
        <v>1.855316543585066</v>
      </c>
      <c r="J112" s="31">
        <v>1.546642201440027</v>
      </c>
      <c r="K112" s="31">
        <v>1.343500011183991</v>
      </c>
      <c r="L112" s="31">
        <v>1.2180920814772489</v>
      </c>
      <c r="M112" s="31">
        <v>1.141836989322262</v>
      </c>
      <c r="N112" s="31">
        <v>1.0853697800637001</v>
      </c>
      <c r="O112" s="31">
        <v>1.018541967388414</v>
      </c>
      <c r="P112" s="31">
        <v>0.91042153332544107</v>
      </c>
      <c r="Q112" s="31">
        <v>0.72929292824603542</v>
      </c>
      <c r="R112" s="32">
        <v>0.44265707086360517</v>
      </c>
    </row>
    <row r="113" spans="1:18" x14ac:dyDescent="0.25">
      <c r="A113" s="30">
        <v>592</v>
      </c>
      <c r="B113" s="31">
        <v>9.4616250409428346</v>
      </c>
      <c r="C113" s="31">
        <v>7.6409489939850772</v>
      </c>
      <c r="D113" s="31">
        <v>6.106572085164327</v>
      </c>
      <c r="E113" s="31">
        <v>4.8356711793733353</v>
      </c>
      <c r="F113" s="31">
        <v>3.8046396098470261</v>
      </c>
      <c r="G113" s="31">
        <v>2.989087178162539</v>
      </c>
      <c r="H113" s="31">
        <v>2.3638401542391829</v>
      </c>
      <c r="I113" s="31">
        <v>1.9029412763384741</v>
      </c>
      <c r="J113" s="31">
        <v>1.5796497510641081</v>
      </c>
      <c r="K113" s="31">
        <v>1.366441253361983</v>
      </c>
      <c r="L113" s="31">
        <v>1.2350079265201841</v>
      </c>
      <c r="M113" s="31">
        <v>1.156258382168976</v>
      </c>
      <c r="N113" s="31">
        <v>1.100317700280838</v>
      </c>
      <c r="O113" s="31">
        <v>1.0365274291704289</v>
      </c>
      <c r="P113" s="31">
        <v>0.93344558549458612</v>
      </c>
      <c r="Q113" s="31">
        <v>0.75884665425236619</v>
      </c>
      <c r="R113" s="32">
        <v>0.4797215887849991</v>
      </c>
    </row>
    <row r="114" spans="1:18" x14ac:dyDescent="0.25">
      <c r="A114" s="30">
        <v>608</v>
      </c>
      <c r="B114" s="31">
        <v>9.7937239823527893</v>
      </c>
      <c r="C114" s="31">
        <v>7.9104651572374598</v>
      </c>
      <c r="D114" s="31">
        <v>6.3217830427496837</v>
      </c>
      <c r="E114" s="31">
        <v>5.0043445384100096</v>
      </c>
      <c r="F114" s="31">
        <v>3.934033012081172</v>
      </c>
      <c r="G114" s="31">
        <v>3.0859482999681078</v>
      </c>
      <c r="H114" s="31">
        <v>2.4344067066179358</v>
      </c>
      <c r="I114" s="31">
        <v>1.952941004919972</v>
      </c>
      <c r="J114" s="31">
        <v>1.614300436105724</v>
      </c>
      <c r="K114" s="31">
        <v>1.390450709748887</v>
      </c>
      <c r="L114" s="31">
        <v>1.252574003765353</v>
      </c>
      <c r="M114" s="31">
        <v>1.1710689644132051</v>
      </c>
      <c r="N114" s="31">
        <v>1.1155507062927099</v>
      </c>
      <c r="O114" s="31">
        <v>1.0548508123463329</v>
      </c>
      <c r="P114" s="31">
        <v>0.95701733385873056</v>
      </c>
      <c r="Q114" s="31">
        <v>0.78931479045675346</v>
      </c>
      <c r="R114" s="32">
        <v>0.51822417010943245</v>
      </c>
    </row>
    <row r="115" spans="1:18" x14ac:dyDescent="0.25">
      <c r="A115" s="30">
        <v>624</v>
      </c>
      <c r="B115" s="31">
        <v>10.137661143675141</v>
      </c>
      <c r="C115" s="31">
        <v>8.1899767252158107</v>
      </c>
      <c r="D115" s="31">
        <v>6.5453035290765191</v>
      </c>
      <c r="E115" s="31">
        <v>5.1797984894056173</v>
      </c>
      <c r="F115" s="31">
        <v>4.0688350086936449</v>
      </c>
      <c r="G115" s="31">
        <v>3.1870029577733439</v>
      </c>
      <c r="H115" s="31">
        <v>2.5081086758196429</v>
      </c>
      <c r="I115" s="31">
        <v>2.005174970349656</v>
      </c>
      <c r="J115" s="31">
        <v>1.650441117222696</v>
      </c>
      <c r="K115" s="31">
        <v>1.415362860640266</v>
      </c>
      <c r="L115" s="31">
        <v>1.270612413146067</v>
      </c>
      <c r="M115" s="31">
        <v>1.186078455625974</v>
      </c>
      <c r="N115" s="31">
        <v>1.130866137308072</v>
      </c>
      <c r="O115" s="31">
        <v>1.073297075762629</v>
      </c>
      <c r="P115" s="31">
        <v>0.98090935690209691</v>
      </c>
      <c r="Q115" s="31">
        <v>0.82045753498113427</v>
      </c>
      <c r="R115" s="32">
        <v>0.55791263259659196</v>
      </c>
    </row>
    <row r="116" spans="1:18" x14ac:dyDescent="0.25">
      <c r="A116" s="33">
        <v>640</v>
      </c>
      <c r="B116" s="34">
        <v>10.49335097784596</v>
      </c>
      <c r="C116" s="34">
        <v>8.4793857704939288</v>
      </c>
      <c r="D116" s="34">
        <v>6.7770232363563636</v>
      </c>
      <c r="E116" s="34">
        <v>5.3619103442094138</v>
      </c>
      <c r="F116" s="34">
        <v>4.2089105311714379</v>
      </c>
      <c r="G116" s="34">
        <v>3.2921037027029731</v>
      </c>
      <c r="H116" s="34">
        <v>2.584786232606755</v>
      </c>
      <c r="I116" s="34">
        <v>2.0594709630277062</v>
      </c>
      <c r="J116" s="34">
        <v>1.687887204452944</v>
      </c>
      <c r="K116" s="34">
        <v>1.440980735711771</v>
      </c>
      <c r="L116" s="34">
        <v>1.288913803975696</v>
      </c>
      <c r="M116" s="34">
        <v>1.2010651247584041</v>
      </c>
      <c r="N116" s="34">
        <v>1.146029881915767</v>
      </c>
      <c r="O116" s="34">
        <v>1.0916197276458881</v>
      </c>
      <c r="P116" s="34">
        <v>1.0048627824889931</v>
      </c>
      <c r="Q116" s="34">
        <v>0.85200363532756995</v>
      </c>
      <c r="R116" s="35">
        <v>0.59850334338625011</v>
      </c>
    </row>
    <row r="119" spans="1:18" ht="28.9" customHeight="1" x14ac:dyDescent="0.5">
      <c r="A119" s="1" t="s">
        <v>31</v>
      </c>
    </row>
    <row r="120" spans="1:18" ht="32.1" customHeight="1" x14ac:dyDescent="0.25"/>
    <row r="121" spans="1:18" x14ac:dyDescent="0.25">
      <c r="A121" s="2"/>
      <c r="B121" s="3"/>
      <c r="C121" s="3"/>
      <c r="D121" s="4"/>
    </row>
    <row r="122" spans="1:18" x14ac:dyDescent="0.25">
      <c r="A122" s="5" t="s">
        <v>32</v>
      </c>
      <c r="B122" s="6">
        <v>4</v>
      </c>
      <c r="C122" s="6" t="s">
        <v>12</v>
      </c>
      <c r="D122" s="7"/>
    </row>
    <row r="123" spans="1:18" x14ac:dyDescent="0.25">
      <c r="A123" s="8"/>
      <c r="B123" s="9"/>
      <c r="C123" s="9"/>
      <c r="D123" s="10"/>
    </row>
    <row r="126" spans="1:18" ht="48" customHeight="1" x14ac:dyDescent="0.25">
      <c r="A126" s="21" t="s">
        <v>33</v>
      </c>
      <c r="B126" s="23" t="s">
        <v>34</v>
      </c>
    </row>
    <row r="127" spans="1:18" x14ac:dyDescent="0.25">
      <c r="A127" s="5">
        <v>0</v>
      </c>
      <c r="B127" s="32">
        <v>0.14999999999999991</v>
      </c>
    </row>
    <row r="128" spans="1:18" x14ac:dyDescent="0.25">
      <c r="A128" s="5">
        <v>0.125</v>
      </c>
      <c r="B128" s="32">
        <v>0.14689062500000041</v>
      </c>
    </row>
    <row r="129" spans="1:2" x14ac:dyDescent="0.25">
      <c r="A129" s="5">
        <v>0.25</v>
      </c>
      <c r="B129" s="32">
        <v>6.7520833333333474E-2</v>
      </c>
    </row>
    <row r="130" spans="1:2" x14ac:dyDescent="0.25">
      <c r="A130" s="5">
        <v>0.375</v>
      </c>
      <c r="B130" s="32">
        <v>-3.1742647058823459E-2</v>
      </c>
    </row>
    <row r="131" spans="1:2" x14ac:dyDescent="0.25">
      <c r="A131" s="5">
        <v>0.5</v>
      </c>
      <c r="B131" s="32">
        <v>-1.3249999999999981E-2</v>
      </c>
    </row>
    <row r="132" spans="1:2" x14ac:dyDescent="0.25">
      <c r="A132" s="5">
        <v>0.625</v>
      </c>
      <c r="B132" s="32">
        <v>8.9034653465347446E-3</v>
      </c>
    </row>
    <row r="133" spans="1:2" x14ac:dyDescent="0.25">
      <c r="A133" s="5">
        <v>0.75</v>
      </c>
      <c r="B133" s="32">
        <v>-7.6445544554453182E-3</v>
      </c>
    </row>
    <row r="134" spans="1:2" x14ac:dyDescent="0.25">
      <c r="A134" s="5">
        <v>0.875</v>
      </c>
      <c r="B134" s="32">
        <v>-2.4192574257425711E-2</v>
      </c>
    </row>
    <row r="135" spans="1:2" x14ac:dyDescent="0.25">
      <c r="A135" s="5">
        <v>1</v>
      </c>
      <c r="B135" s="32">
        <v>-4.0740594059405888E-2</v>
      </c>
    </row>
    <row r="136" spans="1:2" x14ac:dyDescent="0.25">
      <c r="A136" s="5">
        <v>1.125</v>
      </c>
      <c r="B136" s="32">
        <v>-4.164601769911503E-2</v>
      </c>
    </row>
    <row r="137" spans="1:2" x14ac:dyDescent="0.25">
      <c r="A137" s="5">
        <v>1.25</v>
      </c>
      <c r="B137" s="32">
        <v>-3.4327586206896347E-2</v>
      </c>
    </row>
    <row r="138" spans="1:2" x14ac:dyDescent="0.25">
      <c r="A138" s="5">
        <v>1.375</v>
      </c>
      <c r="B138" s="32">
        <v>-2.9974137931034431E-2</v>
      </c>
    </row>
    <row r="139" spans="1:2" x14ac:dyDescent="0.25">
      <c r="A139" s="5">
        <v>1.5</v>
      </c>
      <c r="B139" s="32">
        <v>-2.562068965517228E-2</v>
      </c>
    </row>
    <row r="140" spans="1:2" x14ac:dyDescent="0.25">
      <c r="A140" s="5">
        <v>1.625</v>
      </c>
      <c r="B140" s="32">
        <v>-2.305932203389827E-2</v>
      </c>
    </row>
    <row r="141" spans="1:2" x14ac:dyDescent="0.25">
      <c r="A141" s="5">
        <v>1.75</v>
      </c>
      <c r="B141" s="32">
        <v>-2.089830508474555E-2</v>
      </c>
    </row>
    <row r="142" spans="1:2" x14ac:dyDescent="0.25">
      <c r="A142" s="5">
        <v>1.875</v>
      </c>
      <c r="B142" s="32">
        <v>-1.8737288135593281E-2</v>
      </c>
    </row>
    <row r="143" spans="1:2" x14ac:dyDescent="0.25">
      <c r="A143" s="5">
        <v>2</v>
      </c>
      <c r="B143" s="32">
        <v>-1.657627118644078E-2</v>
      </c>
    </row>
    <row r="144" spans="1:2" x14ac:dyDescent="0.25">
      <c r="A144" s="5">
        <v>2.125</v>
      </c>
      <c r="B144" s="32">
        <v>-1.5173400673400559E-2</v>
      </c>
    </row>
    <row r="145" spans="1:2" x14ac:dyDescent="0.25">
      <c r="A145" s="5">
        <v>2.25</v>
      </c>
      <c r="B145" s="32">
        <v>-1.386868686868703E-2</v>
      </c>
    </row>
    <row r="146" spans="1:2" x14ac:dyDescent="0.25">
      <c r="A146" s="5">
        <v>2.375</v>
      </c>
      <c r="B146" s="32">
        <v>-1.256397306397283E-2</v>
      </c>
    </row>
    <row r="147" spans="1:2" x14ac:dyDescent="0.25">
      <c r="A147" s="5">
        <v>2.5</v>
      </c>
      <c r="B147" s="32">
        <v>-1.1259259259259521E-2</v>
      </c>
    </row>
    <row r="148" spans="1:2" x14ac:dyDescent="0.25">
      <c r="A148" s="5">
        <v>2.625</v>
      </c>
      <c r="B148" s="32">
        <v>-9.9545454545453271E-3</v>
      </c>
    </row>
    <row r="149" spans="1:2" x14ac:dyDescent="0.25">
      <c r="A149" s="5">
        <v>2.75</v>
      </c>
      <c r="B149" s="32">
        <v>-8.6498316498315742E-3</v>
      </c>
    </row>
    <row r="150" spans="1:2" x14ac:dyDescent="0.25">
      <c r="A150" s="5">
        <v>2.875</v>
      </c>
      <c r="B150" s="32">
        <v>-7.3451178451175991E-3</v>
      </c>
    </row>
    <row r="151" spans="1:2" x14ac:dyDescent="0.25">
      <c r="A151" s="5">
        <v>3</v>
      </c>
      <c r="B151" s="32">
        <v>-6.0404040404036241E-3</v>
      </c>
    </row>
    <row r="152" spans="1:2" x14ac:dyDescent="0.25">
      <c r="A152" s="5">
        <v>3.125</v>
      </c>
      <c r="B152" s="32">
        <v>-4.3226351351350889E-3</v>
      </c>
    </row>
    <row r="153" spans="1:2" x14ac:dyDescent="0.25">
      <c r="A153" s="5">
        <v>3.25</v>
      </c>
      <c r="B153" s="32">
        <v>-2.5912162162156078E-3</v>
      </c>
    </row>
    <row r="154" spans="1:2" x14ac:dyDescent="0.25">
      <c r="A154" s="5">
        <v>3.375</v>
      </c>
      <c r="B154" s="32">
        <v>-8.5979729729701582E-4</v>
      </c>
    </row>
    <row r="155" spans="1:2" x14ac:dyDescent="0.25">
      <c r="A155" s="5">
        <v>3.5</v>
      </c>
      <c r="B155" s="32">
        <v>8.7162162162157664E-4</v>
      </c>
    </row>
    <row r="156" spans="1:2" x14ac:dyDescent="0.25">
      <c r="A156" s="5">
        <v>3.625</v>
      </c>
      <c r="B156" s="32">
        <v>2.6030405405406132E-3</v>
      </c>
    </row>
    <row r="157" spans="1:2" x14ac:dyDescent="0.25">
      <c r="A157" s="5">
        <v>3.75</v>
      </c>
      <c r="B157" s="32">
        <v>4.3344594594596497E-3</v>
      </c>
    </row>
    <row r="158" spans="1:2" x14ac:dyDescent="0.25">
      <c r="A158" s="5">
        <v>3.875</v>
      </c>
      <c r="B158" s="32">
        <v>6.0658783783786863E-3</v>
      </c>
    </row>
    <row r="159" spans="1:2" x14ac:dyDescent="0.25">
      <c r="A159" s="8">
        <v>4</v>
      </c>
      <c r="B159" s="35">
        <v>7.9656357388315779E-3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R159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44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6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300</v>
      </c>
      <c r="C24" s="13" t="s">
        <v>8</v>
      </c>
      <c r="D24" s="14"/>
    </row>
    <row r="25" spans="1:4" x14ac:dyDescent="0.25">
      <c r="A25" s="5" t="s">
        <v>9</v>
      </c>
      <c r="B25" s="13">
        <v>14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11</v>
      </c>
      <c r="B31" s="6">
        <v>0.18999999999999989</v>
      </c>
      <c r="C31" s="6" t="s">
        <v>12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13</v>
      </c>
    </row>
    <row r="37" spans="1:5" x14ac:dyDescent="0.25">
      <c r="A37" s="17" t="s">
        <v>14</v>
      </c>
      <c r="B37" s="36">
        <v>100</v>
      </c>
      <c r="C37" s="17" t="s">
        <v>15</v>
      </c>
      <c r="D37" s="17" t="s">
        <v>16</v>
      </c>
      <c r="E37" s="17"/>
    </row>
    <row r="38" spans="1:5" hidden="1" x14ac:dyDescent="0.25">
      <c r="A38" s="17" t="s">
        <v>17</v>
      </c>
      <c r="B38" s="17">
        <v>14.7</v>
      </c>
      <c r="C38" s="17"/>
      <c r="D38" s="17" t="s">
        <v>16</v>
      </c>
      <c r="E38" s="17"/>
    </row>
    <row r="39" spans="1:5" hidden="1" x14ac:dyDescent="0.25">
      <c r="A39" s="17" t="s">
        <v>18</v>
      </c>
      <c r="B39" s="17">
        <v>9.0079999999999991</v>
      </c>
      <c r="C39" s="17"/>
      <c r="D39" s="17" t="s">
        <v>16</v>
      </c>
      <c r="E39" s="17"/>
    </row>
    <row r="41" spans="1:5" ht="48" customHeight="1" x14ac:dyDescent="0.25">
      <c r="A41" s="18" t="s">
        <v>40</v>
      </c>
      <c r="B41" s="19" t="s">
        <v>20</v>
      </c>
      <c r="C41" s="19" t="s">
        <v>21</v>
      </c>
      <c r="D41" s="19" t="s">
        <v>22</v>
      </c>
      <c r="E41" s="20" t="s">
        <v>23</v>
      </c>
    </row>
    <row r="42" spans="1:5" x14ac:dyDescent="0.25">
      <c r="A42" s="5">
        <v>128</v>
      </c>
      <c r="B42" s="6">
        <v>55.381658044585294</v>
      </c>
      <c r="C42" s="6">
        <f>55.3816580445852 * $B$37 / 100</f>
        <v>55.381658044585201</v>
      </c>
      <c r="D42" s="6">
        <v>6.9779658432665359</v>
      </c>
      <c r="E42" s="7">
        <f>6.97796584326653 * $B$37 / 100</f>
        <v>6.9779658432665288</v>
      </c>
    </row>
    <row r="43" spans="1:5" x14ac:dyDescent="0.25">
      <c r="A43" s="5">
        <v>148</v>
      </c>
      <c r="B43" s="6">
        <v>59.551379540956319</v>
      </c>
      <c r="C43" s="6">
        <f>59.5513795409563 * $B$37 / 100</f>
        <v>59.551379540956297</v>
      </c>
      <c r="D43" s="6">
        <v>7.5033414857615153</v>
      </c>
      <c r="E43" s="7">
        <f>7.50334148576151 * $B$37 / 100</f>
        <v>7.5033414857615091</v>
      </c>
    </row>
    <row r="44" spans="1:5" x14ac:dyDescent="0.25">
      <c r="A44" s="5">
        <v>168</v>
      </c>
      <c r="B44" s="6">
        <v>63.44766002536803</v>
      </c>
      <c r="C44" s="6">
        <f>63.447660025368 * $B$37 / 100</f>
        <v>63.447660025368002</v>
      </c>
      <c r="D44" s="6">
        <v>7.9942641683963149</v>
      </c>
      <c r="E44" s="7">
        <f>7.99426416839631 * $B$37 / 100</f>
        <v>7.9942641683963096</v>
      </c>
    </row>
    <row r="45" spans="1:5" x14ac:dyDescent="0.25">
      <c r="A45" s="5">
        <v>188</v>
      </c>
      <c r="B45" s="6">
        <v>67.118137043263786</v>
      </c>
      <c r="C45" s="6">
        <f>67.1181370432637 * $B$37 / 100</f>
        <v>67.118137043263701</v>
      </c>
      <c r="D45" s="6">
        <v>8.4567361160355858</v>
      </c>
      <c r="E45" s="7">
        <f>8.45673611603558 * $B$37 / 100</f>
        <v>8.4567361160355805</v>
      </c>
    </row>
    <row r="46" spans="1:5" x14ac:dyDescent="0.25">
      <c r="A46" s="5">
        <v>208</v>
      </c>
      <c r="B46" s="6">
        <v>70.598038766115806</v>
      </c>
      <c r="C46" s="6">
        <f>70.5980387661158 * $B$37 / 100</f>
        <v>70.598038766115806</v>
      </c>
      <c r="D46" s="6">
        <v>8.8951960000000003</v>
      </c>
      <c r="E46" s="7">
        <f>8.895196 * $B$37 / 100</f>
        <v>8.8951960000000003</v>
      </c>
    </row>
    <row r="47" spans="1:5" x14ac:dyDescent="0.25">
      <c r="A47" s="5">
        <v>228</v>
      </c>
      <c r="B47" s="6">
        <v>74.149609340552743</v>
      </c>
      <c r="C47" s="6">
        <f>74.1496093405527 * $B$37 / 100</f>
        <v>74.149609340552701</v>
      </c>
      <c r="D47" s="6">
        <v>9.3426860000000005</v>
      </c>
      <c r="E47" s="7">
        <f>9.342686 * $B$37 / 100</f>
        <v>9.3426860000000005</v>
      </c>
    </row>
    <row r="48" spans="1:5" x14ac:dyDescent="0.25">
      <c r="A48" s="5">
        <v>248</v>
      </c>
      <c r="B48" s="6">
        <v>77.70117991498968</v>
      </c>
      <c r="C48" s="6">
        <f>77.7011799149896 * $B$37 / 100</f>
        <v>77.701179914989595</v>
      </c>
      <c r="D48" s="6">
        <v>9.7901760000000007</v>
      </c>
      <c r="E48" s="7">
        <f>9.790176 * $B$37 / 100</f>
        <v>9.7901760000000007</v>
      </c>
    </row>
    <row r="49" spans="1:5" x14ac:dyDescent="0.25">
      <c r="A49" s="5">
        <v>268</v>
      </c>
      <c r="B49" s="6">
        <v>81.252750489426631</v>
      </c>
      <c r="C49" s="6">
        <f>81.2527504894266 * $B$37 / 100</f>
        <v>81.252750489426603</v>
      </c>
      <c r="D49" s="6">
        <v>10.237666000000001</v>
      </c>
      <c r="E49" s="7">
        <f>10.237666 * $B$37 / 100</f>
        <v>10.237666000000001</v>
      </c>
    </row>
    <row r="50" spans="1:5" x14ac:dyDescent="0.25">
      <c r="A50" s="5">
        <v>288</v>
      </c>
      <c r="B50" s="6">
        <v>84.804321063863568</v>
      </c>
      <c r="C50" s="6">
        <f>84.8043210638635 * $B$37 / 100</f>
        <v>84.804321063863497</v>
      </c>
      <c r="D50" s="6">
        <v>10.685155999999999</v>
      </c>
      <c r="E50" s="7">
        <f>10.685156 * $B$37 / 100</f>
        <v>10.685155999999999</v>
      </c>
    </row>
    <row r="51" spans="1:5" x14ac:dyDescent="0.25">
      <c r="A51" s="5">
        <v>308</v>
      </c>
      <c r="B51" s="6">
        <v>88.072383992663021</v>
      </c>
      <c r="C51" s="6">
        <f>88.072383992663 * $B$37 / 100</f>
        <v>88.072383992662992</v>
      </c>
      <c r="D51" s="6">
        <v>11.09692466666667</v>
      </c>
      <c r="E51" s="7">
        <f>11.0969246666666 * $B$37 / 100</f>
        <v>11.096924666666601</v>
      </c>
    </row>
    <row r="52" spans="1:5" x14ac:dyDescent="0.25">
      <c r="A52" s="5">
        <v>328</v>
      </c>
      <c r="B52" s="6">
        <v>90.915185453006231</v>
      </c>
      <c r="C52" s="6">
        <f>90.9151854530062 * $B$37 / 100</f>
        <v>90.915185453006202</v>
      </c>
      <c r="D52" s="6">
        <v>11.455111333333329</v>
      </c>
      <c r="E52" s="7">
        <f>11.4551113333333 * $B$37 / 100</f>
        <v>11.455111333333299</v>
      </c>
    </row>
    <row r="53" spans="1:5" x14ac:dyDescent="0.25">
      <c r="A53" s="5">
        <v>348</v>
      </c>
      <c r="B53" s="6">
        <v>93.757986913349441</v>
      </c>
      <c r="C53" s="6">
        <f>93.7579869133494 * $B$37 / 100</f>
        <v>93.757986913349399</v>
      </c>
      <c r="D53" s="6">
        <v>11.813298</v>
      </c>
      <c r="E53" s="7">
        <f>11.813298 * $B$37 / 100</f>
        <v>11.813298</v>
      </c>
    </row>
    <row r="54" spans="1:5" x14ac:dyDescent="0.25">
      <c r="A54" s="5">
        <v>368</v>
      </c>
      <c r="B54" s="6">
        <v>96.600788373692666</v>
      </c>
      <c r="C54" s="6">
        <f>96.6007883736926 * $B$37 / 100</f>
        <v>96.600788373692595</v>
      </c>
      <c r="D54" s="6">
        <v>12.17148466666667</v>
      </c>
      <c r="E54" s="7">
        <f>12.1714846666666 * $B$37 / 100</f>
        <v>12.171484666666602</v>
      </c>
    </row>
    <row r="55" spans="1:5" x14ac:dyDescent="0.25">
      <c r="A55" s="5">
        <v>388</v>
      </c>
      <c r="B55" s="6">
        <v>99.443589834035876</v>
      </c>
      <c r="C55" s="6">
        <f>99.4435898340358 * $B$37 / 100</f>
        <v>99.443589834035805</v>
      </c>
      <c r="D55" s="6">
        <v>12.529671333333329</v>
      </c>
      <c r="E55" s="7">
        <f>12.5296713333333 * $B$37 / 100</f>
        <v>12.529671333333299</v>
      </c>
    </row>
    <row r="56" spans="1:5" x14ac:dyDescent="0.25">
      <c r="A56" s="5">
        <v>408</v>
      </c>
      <c r="B56" s="6">
        <v>102.18905624437819</v>
      </c>
      <c r="C56" s="6">
        <f>102.189056244378 * $B$37 / 100</f>
        <v>102.18905624437799</v>
      </c>
      <c r="D56" s="6">
        <v>12.875594</v>
      </c>
      <c r="E56" s="7">
        <f>12.875594 * $B$37 / 100</f>
        <v>12.875594</v>
      </c>
    </row>
    <row r="57" spans="1:5" x14ac:dyDescent="0.25">
      <c r="A57" s="5">
        <v>428</v>
      </c>
      <c r="B57" s="6">
        <v>104.78852007971921</v>
      </c>
      <c r="C57" s="6">
        <f>104.788520079719 * $B$37 / 100</f>
        <v>104.78852007971901</v>
      </c>
      <c r="D57" s="6">
        <v>13.203120666666671</v>
      </c>
      <c r="E57" s="7">
        <f>13.2031206666666 * $B$37 / 100</f>
        <v>13.203120666666599</v>
      </c>
    </row>
    <row r="58" spans="1:5" x14ac:dyDescent="0.25">
      <c r="A58" s="5">
        <v>448</v>
      </c>
      <c r="B58" s="6">
        <v>107.3879839150602</v>
      </c>
      <c r="C58" s="6">
        <f>107.38798391506 * $B$37 / 100</f>
        <v>107.38798391506002</v>
      </c>
      <c r="D58" s="6">
        <v>13.530647333333331</v>
      </c>
      <c r="E58" s="7">
        <f>13.5306473333333 * $B$37 / 100</f>
        <v>13.530647333333299</v>
      </c>
    </row>
    <row r="59" spans="1:5" x14ac:dyDescent="0.25">
      <c r="A59" s="5">
        <v>468</v>
      </c>
      <c r="B59" s="6">
        <v>109.9874477504012</v>
      </c>
      <c r="C59" s="6">
        <f>109.987447750401 * $B$37 / 100</f>
        <v>109.987447750401</v>
      </c>
      <c r="D59" s="6">
        <v>13.858174</v>
      </c>
      <c r="E59" s="7">
        <f>13.8581739999999 * $B$37 / 100</f>
        <v>13.858173999999901</v>
      </c>
    </row>
    <row r="60" spans="1:5" x14ac:dyDescent="0.25">
      <c r="A60" s="5">
        <v>488</v>
      </c>
      <c r="B60" s="6">
        <v>112.5869115857423</v>
      </c>
      <c r="C60" s="6">
        <f>112.586911585742 * $B$37 / 100</f>
        <v>112.586911585742</v>
      </c>
      <c r="D60" s="6">
        <v>14.185700666666669</v>
      </c>
      <c r="E60" s="7">
        <f>14.1857006666666 * $B$37 / 100</f>
        <v>14.1857006666666</v>
      </c>
    </row>
    <row r="61" spans="1:5" x14ac:dyDescent="0.25">
      <c r="A61" s="5">
        <v>508</v>
      </c>
      <c r="B61" s="6">
        <v>115.0388278452883</v>
      </c>
      <c r="C61" s="6">
        <f>115.038827845288 * $B$37 / 100</f>
        <v>115.038827845288</v>
      </c>
      <c r="D61" s="6">
        <v>14.49463666666666</v>
      </c>
      <c r="E61" s="7">
        <f>14.4946366666666 * $B$37 / 100</f>
        <v>14.494636666666601</v>
      </c>
    </row>
    <row r="62" spans="1:5" x14ac:dyDescent="0.25">
      <c r="A62" s="5">
        <v>528</v>
      </c>
      <c r="B62" s="6">
        <v>117.2694227411418</v>
      </c>
      <c r="C62" s="6">
        <f>117.269422741141 * $B$37 / 100</f>
        <v>117.269422741141</v>
      </c>
      <c r="D62" s="6">
        <v>14.775686666666671</v>
      </c>
      <c r="E62" s="7">
        <f>14.7756866666666 * $B$37 / 100</f>
        <v>14.7756866666666</v>
      </c>
    </row>
    <row r="63" spans="1:5" x14ac:dyDescent="0.25">
      <c r="A63" s="5">
        <v>548</v>
      </c>
      <c r="B63" s="6">
        <v>119.50001763699539</v>
      </c>
      <c r="C63" s="6">
        <f>119.500017636995 * $B$37 / 100</f>
        <v>119.500017636995</v>
      </c>
      <c r="D63" s="6">
        <v>15.05673666666666</v>
      </c>
      <c r="E63" s="7">
        <f>15.0567366666666 * $B$37 / 100</f>
        <v>15.0567366666666</v>
      </c>
    </row>
    <row r="64" spans="1:5" x14ac:dyDescent="0.25">
      <c r="A64" s="5">
        <v>568</v>
      </c>
      <c r="B64" s="6">
        <v>121.73061253284889</v>
      </c>
      <c r="C64" s="6">
        <f>121.730612532848 * $B$37 / 100</f>
        <v>121.73061253284799</v>
      </c>
      <c r="D64" s="6">
        <v>15.337786666666659</v>
      </c>
      <c r="E64" s="7">
        <f>15.3377866666666 * $B$37 / 100</f>
        <v>15.337786666666601</v>
      </c>
    </row>
    <row r="65" spans="1:18" x14ac:dyDescent="0.25">
      <c r="A65" s="5">
        <v>588</v>
      </c>
      <c r="B65" s="6">
        <v>123.96120742870239</v>
      </c>
      <c r="C65" s="6">
        <f>123.961207428702 * $B$37 / 100</f>
        <v>123.961207428702</v>
      </c>
      <c r="D65" s="6">
        <v>15.61883666666666</v>
      </c>
      <c r="E65" s="7">
        <f>15.6188366666666 * $B$37 / 100</f>
        <v>15.618836666666601</v>
      </c>
    </row>
    <row r="66" spans="1:18" x14ac:dyDescent="0.25">
      <c r="A66" s="5">
        <v>608</v>
      </c>
      <c r="B66" s="6">
        <v>126.05176304119441</v>
      </c>
      <c r="C66" s="6">
        <f>126.051763041194 * $B$37 / 100</f>
        <v>126.05176304119399</v>
      </c>
      <c r="D66" s="6">
        <v>15.88224202816151</v>
      </c>
      <c r="E66" s="7">
        <f>15.8822420281615 * $B$37 / 100</f>
        <v>15.8822420281615</v>
      </c>
    </row>
    <row r="67" spans="1:18" x14ac:dyDescent="0.25">
      <c r="A67" s="5">
        <v>628</v>
      </c>
      <c r="B67" s="6">
        <v>128.1082081070727</v>
      </c>
      <c r="C67" s="6">
        <f>128.108208107072 * $B$37 / 100</f>
        <v>128.10820810707199</v>
      </c>
      <c r="D67" s="6">
        <v>16.141349536584251</v>
      </c>
      <c r="E67" s="7">
        <f>16.1413495365842 * $B$37 / 100</f>
        <v>16.141349536584201</v>
      </c>
    </row>
    <row r="68" spans="1:18" x14ac:dyDescent="0.25">
      <c r="A68" s="5">
        <v>648</v>
      </c>
      <c r="B68" s="6">
        <v>130.13215975698191</v>
      </c>
      <c r="C68" s="6">
        <f>130.132159756981 * $B$37 / 100</f>
        <v>130.132159756981</v>
      </c>
      <c r="D68" s="6">
        <v>16.396362946802491</v>
      </c>
      <c r="E68" s="7">
        <f>16.3963629468024 * $B$37 / 100</f>
        <v>16.396362946802402</v>
      </c>
    </row>
    <row r="69" spans="1:18" x14ac:dyDescent="0.25">
      <c r="A69" s="5">
        <v>668</v>
      </c>
      <c r="B69" s="6">
        <v>132.1251112454718</v>
      </c>
      <c r="C69" s="6">
        <f>132.125111245471 * $B$37 / 100</f>
        <v>132.125111245471</v>
      </c>
      <c r="D69" s="6">
        <v>16.64747040557112</v>
      </c>
      <c r="E69" s="7">
        <f>16.6474704055711 * $B$37 / 100</f>
        <v>16.647470405571099</v>
      </c>
    </row>
    <row r="70" spans="1:18" x14ac:dyDescent="0.25">
      <c r="A70" s="5">
        <v>688</v>
      </c>
      <c r="B70" s="6">
        <v>134.0884448423499</v>
      </c>
      <c r="C70" s="6">
        <f>134.088444842349 * $B$37 / 100</f>
        <v>134.08844484234899</v>
      </c>
      <c r="D70" s="6">
        <v>16.894846075814218</v>
      </c>
      <c r="E70" s="7">
        <f>16.8948460758142 * $B$37 / 100</f>
        <v>16.894846075814201</v>
      </c>
    </row>
    <row r="71" spans="1:18" x14ac:dyDescent="0.25">
      <c r="A71" s="5">
        <v>708</v>
      </c>
      <c r="B71" s="6">
        <v>136.02344304880521</v>
      </c>
      <c r="C71" s="6">
        <f>136.023443048805 * $B$37 / 100</f>
        <v>136.02344304880501</v>
      </c>
      <c r="D71" s="6">
        <v>17.138651549831572</v>
      </c>
      <c r="E71" s="7">
        <f>17.1386515498315 * $B$37 / 100</f>
        <v>17.138651549831501</v>
      </c>
    </row>
    <row r="72" spans="1:18" x14ac:dyDescent="0.25">
      <c r="A72" s="5">
        <v>728</v>
      </c>
      <c r="B72" s="6">
        <v>137.9312983969308</v>
      </c>
      <c r="C72" s="6">
        <f>137.93129839693 * $B$37 / 100</f>
        <v>137.93129839693</v>
      </c>
      <c r="D72" s="6">
        <v>17.379037084016851</v>
      </c>
      <c r="E72" s="7">
        <f>17.3790370840168 * $B$37 / 100</f>
        <v>17.379037084016801</v>
      </c>
    </row>
    <row r="73" spans="1:18" x14ac:dyDescent="0.25">
      <c r="A73" s="5">
        <v>748</v>
      </c>
      <c r="B73" s="6">
        <v>139.81312204537451</v>
      </c>
      <c r="C73" s="6">
        <f>139.813122045374 * $B$37 / 100</f>
        <v>139.813122045374</v>
      </c>
      <c r="D73" s="6">
        <v>17.61614268189042</v>
      </c>
      <c r="E73" s="7">
        <f>17.6161426818904 * $B$37 / 100</f>
        <v>17.616142681890398</v>
      </c>
    </row>
    <row r="74" spans="1:18" x14ac:dyDescent="0.25">
      <c r="A74" s="8">
        <v>768</v>
      </c>
      <c r="B74" s="9">
        <v>141.6699513470885</v>
      </c>
      <c r="C74" s="9">
        <f>141.669951347088 * $B$37 / 100</f>
        <v>141.66995134708799</v>
      </c>
      <c r="D74" s="9">
        <v>17.85009904761905</v>
      </c>
      <c r="E74" s="10">
        <f>17.850099047619 * $B$37 / 100</f>
        <v>17.850099047619</v>
      </c>
    </row>
    <row r="76" spans="1:18" ht="28.9" customHeight="1" x14ac:dyDescent="0.5">
      <c r="A76" s="1" t="s">
        <v>24</v>
      </c>
      <c r="B76" s="1"/>
    </row>
    <row r="77" spans="1:18" x14ac:dyDescent="0.25">
      <c r="A77" s="21" t="s">
        <v>25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26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27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18" ht="28.9" customHeight="1" x14ac:dyDescent="0.5">
      <c r="A81" s="1" t="s">
        <v>28</v>
      </c>
      <c r="B81" s="1"/>
    </row>
    <row r="82" spans="1:18" x14ac:dyDescent="0.25">
      <c r="A82" s="24" t="s">
        <v>29</v>
      </c>
      <c r="B82" s="25" t="s">
        <v>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6"/>
    </row>
    <row r="83" spans="1:18" x14ac:dyDescent="0.25">
      <c r="A83" s="27" t="s">
        <v>40</v>
      </c>
      <c r="B83" s="28">
        <v>4</v>
      </c>
      <c r="C83" s="28">
        <v>5</v>
      </c>
      <c r="D83" s="28">
        <v>6</v>
      </c>
      <c r="E83" s="28">
        <v>7</v>
      </c>
      <c r="F83" s="28">
        <v>8</v>
      </c>
      <c r="G83" s="28">
        <v>9</v>
      </c>
      <c r="H83" s="28">
        <v>10</v>
      </c>
      <c r="I83" s="28">
        <v>11</v>
      </c>
      <c r="J83" s="28">
        <v>12</v>
      </c>
      <c r="K83" s="28">
        <v>13</v>
      </c>
      <c r="L83" s="28">
        <v>14</v>
      </c>
      <c r="M83" s="28">
        <v>15</v>
      </c>
      <c r="N83" s="28">
        <v>16</v>
      </c>
      <c r="O83" s="28">
        <v>17</v>
      </c>
      <c r="P83" s="28">
        <v>18</v>
      </c>
      <c r="Q83" s="28">
        <v>19</v>
      </c>
      <c r="R83" s="29">
        <v>20</v>
      </c>
    </row>
    <row r="84" spans="1:18" x14ac:dyDescent="0.25">
      <c r="A84" s="30">
        <v>128</v>
      </c>
      <c r="B84" s="31">
        <v>4.2339511631383662</v>
      </c>
      <c r="C84" s="31">
        <v>3.482200805043465</v>
      </c>
      <c r="D84" s="31">
        <v>2.8449685357055849</v>
      </c>
      <c r="E84" s="31">
        <v>2.3142202158111278</v>
      </c>
      <c r="F84" s="31">
        <v>1.8811381743886819</v>
      </c>
      <c r="G84" s="31">
        <v>1.5361212088090339</v>
      </c>
      <c r="H84" s="31">
        <v>1.268784584785164</v>
      </c>
      <c r="I84" s="31">
        <v>1.067960036372235</v>
      </c>
      <c r="J84" s="31">
        <v>0.92169576596760949</v>
      </c>
      <c r="K84" s="31">
        <v>0.81725644431083244</v>
      </c>
      <c r="L84" s="31">
        <v>0.74112321048365359</v>
      </c>
      <c r="M84" s="31">
        <v>0.67899367190999849</v>
      </c>
      <c r="N84" s="31">
        <v>0.61578190435599789</v>
      </c>
      <c r="O84" s="31">
        <v>0.53561845192996616</v>
      </c>
      <c r="P84" s="31">
        <v>0.4218503270824116</v>
      </c>
      <c r="Q84" s="31">
        <v>0.25704101060603529</v>
      </c>
      <c r="R84" s="32">
        <v>2.2970451635733191E-2</v>
      </c>
    </row>
    <row r="85" spans="1:18" x14ac:dyDescent="0.25">
      <c r="A85" s="30">
        <v>148</v>
      </c>
      <c r="B85" s="31">
        <v>4.3502031967757722</v>
      </c>
      <c r="C85" s="31">
        <v>3.5800632367607381</v>
      </c>
      <c r="D85" s="31">
        <v>2.9291238067957308</v>
      </c>
      <c r="E85" s="31">
        <v>2.3887133108519052</v>
      </c>
      <c r="F85" s="31">
        <v>1.949376621242612</v>
      </c>
      <c r="G85" s="31">
        <v>1.6008750786233941</v>
      </c>
      <c r="H85" s="31">
        <v>1.332186491991981</v>
      </c>
      <c r="I85" s="31">
        <v>1.1315051386882971</v>
      </c>
      <c r="J85" s="31">
        <v>0.98624176439445854</v>
      </c>
      <c r="K85" s="31">
        <v>0.88302358313477081</v>
      </c>
      <c r="L85" s="31">
        <v>0.80769427727573495</v>
      </c>
      <c r="M85" s="31">
        <v>0.74531399752603555</v>
      </c>
      <c r="N85" s="31">
        <v>0.6801593629365571</v>
      </c>
      <c r="O85" s="31">
        <v>0.59572346090037387</v>
      </c>
      <c r="P85" s="31">
        <v>0.47471584715274601</v>
      </c>
      <c r="Q85" s="31">
        <v>0.29906254577113162</v>
      </c>
      <c r="R85" s="32">
        <v>4.9906049175185707E-2</v>
      </c>
    </row>
    <row r="86" spans="1:18" x14ac:dyDescent="0.25">
      <c r="A86" s="30">
        <v>168</v>
      </c>
      <c r="B86" s="31">
        <v>4.4677773703991353</v>
      </c>
      <c r="C86" s="31">
        <v>3.676924558821399</v>
      </c>
      <c r="D86" s="31">
        <v>3.0101999360897351</v>
      </c>
      <c r="E86" s="31">
        <v>2.458294449460054</v>
      </c>
      <c r="F86" s="31">
        <v>2.0111155145304611</v>
      </c>
      <c r="G86" s="31">
        <v>1.657787015241253</v>
      </c>
      <c r="H86" s="31">
        <v>1.3866493038749219</v>
      </c>
      <c r="I86" s="31">
        <v>1.185259201056144</v>
      </c>
      <c r="J86" s="31">
        <v>1.040389995751793</v>
      </c>
      <c r="K86" s="31">
        <v>0.9380314452709273</v>
      </c>
      <c r="L86" s="31">
        <v>0.86338977526480787</v>
      </c>
      <c r="M86" s="31">
        <v>0.80088767972687391</v>
      </c>
      <c r="N86" s="31">
        <v>0.73416432099276818</v>
      </c>
      <c r="O86" s="31">
        <v>0.64607532974031567</v>
      </c>
      <c r="P86" s="31">
        <v>0.51869280498954129</v>
      </c>
      <c r="Q86" s="31">
        <v>0.33330531410264902</v>
      </c>
      <c r="R86" s="32">
        <v>7.0417892784053748E-2</v>
      </c>
    </row>
    <row r="87" spans="1:18" x14ac:dyDescent="0.25">
      <c r="A87" s="30">
        <v>188</v>
      </c>
      <c r="B87" s="31">
        <v>4.5882649475443289</v>
      </c>
      <c r="C87" s="31">
        <v>3.7743518543662722</v>
      </c>
      <c r="D87" s="31">
        <v>3.0897398263333709</v>
      </c>
      <c r="E87" s="31">
        <v>2.5244823539862891</v>
      </c>
      <c r="F87" s="31">
        <v>2.067849396207889</v>
      </c>
      <c r="G87" s="31">
        <v>1.7083273802232259</v>
      </c>
      <c r="H87" s="31">
        <v>1.433619201599543</v>
      </c>
      <c r="I87" s="31">
        <v>1.230644224246277</v>
      </c>
      <c r="J87" s="31">
        <v>1.085538280415056</v>
      </c>
      <c r="K87" s="31">
        <v>0.98365367069969634</v>
      </c>
      <c r="L87" s="31">
        <v>0.90955916403621218</v>
      </c>
      <c r="M87" s="31">
        <v>0.84703999770280092</v>
      </c>
      <c r="N87" s="31">
        <v>0.77909787731985891</v>
      </c>
      <c r="O87" s="31">
        <v>0.68795097684997142</v>
      </c>
      <c r="P87" s="31">
        <v>0.55503393859791206</v>
      </c>
      <c r="Q87" s="31">
        <v>0.36099787321065407</v>
      </c>
      <c r="R87" s="32">
        <v>8.5710359677355186E-2</v>
      </c>
    </row>
    <row r="88" spans="1:18" x14ac:dyDescent="0.25">
      <c r="A88" s="30">
        <v>208</v>
      </c>
      <c r="B88" s="31">
        <v>4.7131804080072834</v>
      </c>
      <c r="C88" s="31">
        <v>3.8738354227962342</v>
      </c>
      <c r="D88" s="31">
        <v>3.1692095965324572</v>
      </c>
      <c r="E88" s="31">
        <v>2.5887189630413769</v>
      </c>
      <c r="F88" s="31">
        <v>2.1209960244906112</v>
      </c>
      <c r="G88" s="31">
        <v>1.7538897513899681</v>
      </c>
      <c r="H88" s="31">
        <v>1.474465582591449</v>
      </c>
      <c r="I88" s="31">
        <v>1.2690054252892471</v>
      </c>
      <c r="J88" s="31">
        <v>1.1230076550197461</v>
      </c>
      <c r="K88" s="31">
        <v>1.021187115661518</v>
      </c>
      <c r="L88" s="31">
        <v>0.94747511943533336</v>
      </c>
      <c r="M88" s="31">
        <v>0.88501944690414913</v>
      </c>
      <c r="N88" s="31">
        <v>0.81618434697311337</v>
      </c>
      <c r="O88" s="31">
        <v>0.72255053688956739</v>
      </c>
      <c r="P88" s="31">
        <v>0.58491520224304494</v>
      </c>
      <c r="Q88" s="31">
        <v>0.38329199696527361</v>
      </c>
      <c r="R88" s="32">
        <v>9.6911043330161192E-2</v>
      </c>
    </row>
    <row r="89" spans="1:18" x14ac:dyDescent="0.25">
      <c r="A89" s="30">
        <v>228</v>
      </c>
      <c r="B89" s="31">
        <v>4.8439614478439514</v>
      </c>
      <c r="C89" s="31">
        <v>3.9767887797721819</v>
      </c>
      <c r="D89" s="31">
        <v>3.2499985819528399</v>
      </c>
      <c r="E89" s="31">
        <v>2.6523694314961102</v>
      </c>
      <c r="F89" s="31">
        <v>2.1718963738543602</v>
      </c>
      <c r="G89" s="31">
        <v>1.7957909228221609</v>
      </c>
      <c r="H89" s="31">
        <v>1.510481060536268</v>
      </c>
      <c r="I89" s="31">
        <v>1.301611237475629</v>
      </c>
      <c r="J89" s="31">
        <v>1.154042372461384</v>
      </c>
      <c r="K89" s="31">
        <v>1.0518518526568601</v>
      </c>
      <c r="L89" s="31">
        <v>0.97833353356758845</v>
      </c>
      <c r="M89" s="31">
        <v>0.91599773904127713</v>
      </c>
      <c r="N89" s="31">
        <v>0.84657126126783044</v>
      </c>
      <c r="O89" s="31">
        <v>0.75099736077935464</v>
      </c>
      <c r="P89" s="31">
        <v>0.60943576645012487</v>
      </c>
      <c r="Q89" s="31">
        <v>0.40126267549663541</v>
      </c>
      <c r="R89" s="32">
        <v>0.1050707534775519</v>
      </c>
    </row>
    <row r="90" spans="1:18" x14ac:dyDescent="0.25">
      <c r="A90" s="30">
        <v>248</v>
      </c>
      <c r="B90" s="31">
        <v>4.9819689793703379</v>
      </c>
      <c r="C90" s="31">
        <v>4.0845486572150671</v>
      </c>
      <c r="D90" s="31">
        <v>3.333419334120419</v>
      </c>
      <c r="E90" s="31">
        <v>2.71672213048133</v>
      </c>
      <c r="F90" s="31">
        <v>2.2218146350349319</v>
      </c>
      <c r="G90" s="31">
        <v>1.835270904860546</v>
      </c>
      <c r="H90" s="31">
        <v>1.542881465379685</v>
      </c>
      <c r="I90" s="31">
        <v>1.3296533103560519</v>
      </c>
      <c r="J90" s="31">
        <v>1.179809901895545</v>
      </c>
      <c r="K90" s="31">
        <v>1.0767911704462469</v>
      </c>
      <c r="L90" s="31">
        <v>1.003253514798444</v>
      </c>
      <c r="M90" s="31">
        <v>0.94106980208460056</v>
      </c>
      <c r="N90" s="31">
        <v>0.87132936777938197</v>
      </c>
      <c r="O90" s="31">
        <v>0.77433801569964034</v>
      </c>
      <c r="P90" s="31">
        <v>0.62961801800441752</v>
      </c>
      <c r="Q90" s="31">
        <v>0.41590811519495219</v>
      </c>
      <c r="R90" s="32">
        <v>0.1111635161146811</v>
      </c>
    </row>
    <row r="91" spans="1:18" x14ac:dyDescent="0.25">
      <c r="A91" s="30">
        <v>268</v>
      </c>
      <c r="B91" s="31">
        <v>5.1284871311624709</v>
      </c>
      <c r="C91" s="31">
        <v>4.1983750033058644</v>
      </c>
      <c r="D91" s="31">
        <v>3.4207076208211111</v>
      </c>
      <c r="E91" s="31">
        <v>2.7829886473879069</v>
      </c>
      <c r="F91" s="31">
        <v>2.2719382150281362</v>
      </c>
      <c r="G91" s="31">
        <v>1.873492924105878</v>
      </c>
      <c r="H91" s="31">
        <v>1.572805843327401</v>
      </c>
      <c r="I91" s="31">
        <v>1.354246509741166</v>
      </c>
      <c r="J91" s="31">
        <v>1.2014009287378249</v>
      </c>
      <c r="K91" s="31">
        <v>1.097071574050217</v>
      </c>
      <c r="L91" s="31">
        <v>1.0232773877533889</v>
      </c>
      <c r="M91" s="31">
        <v>0.96125378026455399</v>
      </c>
      <c r="N91" s="31">
        <v>0.89145263034313915</v>
      </c>
      <c r="O91" s="31">
        <v>0.7935422850907462</v>
      </c>
      <c r="P91" s="31">
        <v>0.64640755995118304</v>
      </c>
      <c r="Q91" s="31">
        <v>0.42814973871043788</v>
      </c>
      <c r="R91" s="32">
        <v>0.1160865734967018</v>
      </c>
    </row>
    <row r="92" spans="1:18" x14ac:dyDescent="0.25">
      <c r="A92" s="30">
        <v>288</v>
      </c>
      <c r="B92" s="31">
        <v>5.2847232480564346</v>
      </c>
      <c r="C92" s="31">
        <v>4.319450982485602</v>
      </c>
      <c r="D92" s="31">
        <v>3.513022426100894</v>
      </c>
      <c r="E92" s="31">
        <v>2.852303785866757</v>
      </c>
      <c r="F92" s="31">
        <v>2.3233777370898401</v>
      </c>
      <c r="G92" s="31">
        <v>1.9115434234189701</v>
      </c>
      <c r="H92" s="31">
        <v>1.601316456845177</v>
      </c>
      <c r="I92" s="31">
        <v>1.3764289177016771</v>
      </c>
      <c r="J92" s="31">
        <v>1.219829354663877</v>
      </c>
      <c r="K92" s="31">
        <v>1.1136827847493731</v>
      </c>
      <c r="L92" s="31">
        <v>1.0393706933179649</v>
      </c>
      <c r="M92" s="31">
        <v>0.97749103407162397</v>
      </c>
      <c r="N92" s="31">
        <v>0.90785822905453595</v>
      </c>
      <c r="O92" s="31">
        <v>0.80950316865305827</v>
      </c>
      <c r="P92" s="31">
        <v>0.66067321159575265</v>
      </c>
      <c r="Q92" s="31">
        <v>0.43883218495336429</v>
      </c>
      <c r="R92" s="32">
        <v>0.12066038413884431</v>
      </c>
    </row>
    <row r="93" spans="1:18" x14ac:dyDescent="0.25">
      <c r="A93" s="30">
        <v>308</v>
      </c>
      <c r="B93" s="31">
        <v>5.4518078911483361</v>
      </c>
      <c r="C93" s="31">
        <v>4.4488829754553354</v>
      </c>
      <c r="D93" s="31">
        <v>3.6114459502657641</v>
      </c>
      <c r="E93" s="31">
        <v>2.9257255658288321</v>
      </c>
      <c r="F93" s="31">
        <v>2.3771670407359342</v>
      </c>
      <c r="G93" s="31">
        <v>1.9504320619206621</v>
      </c>
      <c r="H93" s="31">
        <v>1.6293987846587981</v>
      </c>
      <c r="I93" s="31">
        <v>1.3971618325683131</v>
      </c>
      <c r="J93" s="31">
        <v>1.2360322976093729</v>
      </c>
      <c r="K93" s="31">
        <v>1.1275377400843321</v>
      </c>
      <c r="L93" s="31">
        <v>1.052422188637741</v>
      </c>
      <c r="M93" s="31">
        <v>0.99064614025632969</v>
      </c>
      <c r="N93" s="31">
        <v>0.92138656026903976</v>
      </c>
      <c r="O93" s="31">
        <v>0.8230368823469848</v>
      </c>
      <c r="P93" s="31">
        <v>0.67320700850348125</v>
      </c>
      <c r="Q93" s="31">
        <v>0.4487233090940333</v>
      </c>
      <c r="R93" s="32">
        <v>0.12562862281634321</v>
      </c>
    </row>
    <row r="94" spans="1:18" x14ac:dyDescent="0.25">
      <c r="A94" s="30">
        <v>328</v>
      </c>
      <c r="B94" s="31">
        <v>5.6307948377943271</v>
      </c>
      <c r="C94" s="31">
        <v>4.5877005791761611</v>
      </c>
      <c r="D94" s="31">
        <v>3.7169836098817708</v>
      </c>
      <c r="E94" s="31">
        <v>3.004235223445118</v>
      </c>
      <c r="F94" s="31">
        <v>2.4342631817423599</v>
      </c>
      <c r="G94" s="31">
        <v>1.9910917149918379</v>
      </c>
      <c r="H94" s="31">
        <v>1.6579615217540951</v>
      </c>
      <c r="I94" s="31">
        <v>1.417329768931856</v>
      </c>
      <c r="J94" s="31">
        <v>1.250870091770043</v>
      </c>
      <c r="K94" s="31">
        <v>1.1394725938557679</v>
      </c>
      <c r="L94" s="31">
        <v>1.0632438471183321</v>
      </c>
      <c r="M94" s="31">
        <v>1.00150689182923</v>
      </c>
      <c r="N94" s="31">
        <v>0.93280123660215475</v>
      </c>
      <c r="O94" s="31">
        <v>0.83488285839297671</v>
      </c>
      <c r="P94" s="31">
        <v>0.68472420249977184</v>
      </c>
      <c r="Q94" s="31">
        <v>0.45851418256279602</v>
      </c>
      <c r="R94" s="32">
        <v>0.13165818056450371</v>
      </c>
    </row>
    <row r="95" spans="1:18" x14ac:dyDescent="0.25">
      <c r="A95" s="30">
        <v>348</v>
      </c>
      <c r="B95" s="31">
        <v>5.8226610816105939</v>
      </c>
      <c r="C95" s="31">
        <v>4.7368566068692113</v>
      </c>
      <c r="D95" s="31">
        <v>3.830564037774991</v>
      </c>
      <c r="E95" s="31">
        <v>3.088737211146642</v>
      </c>
      <c r="F95" s="31">
        <v>2.495546432145082</v>
      </c>
      <c r="G95" s="31">
        <v>2.0343784742734119</v>
      </c>
      <c r="H95" s="31">
        <v>1.687836579376925</v>
      </c>
      <c r="I95" s="31">
        <v>1.4377404576431081</v>
      </c>
      <c r="J95" s="31">
        <v>1.265126287601634</v>
      </c>
      <c r="K95" s="31">
        <v>1.150246716124373</v>
      </c>
      <c r="L95" s="31">
        <v>1.0725708584253819</v>
      </c>
      <c r="M95" s="31">
        <v>1.0107842980609161</v>
      </c>
      <c r="N95" s="31">
        <v>0.94278908692941743</v>
      </c>
      <c r="O95" s="31">
        <v>0.84570374527151637</v>
      </c>
      <c r="P95" s="31">
        <v>0.69586326167004575</v>
      </c>
      <c r="Q95" s="31">
        <v>0.46881909305001729</v>
      </c>
      <c r="R95" s="32">
        <v>0.13933916467863661</v>
      </c>
    </row>
    <row r="96" spans="1:18" x14ac:dyDescent="0.25">
      <c r="A96" s="30">
        <v>368</v>
      </c>
      <c r="B96" s="31">
        <v>6.0283068324733682</v>
      </c>
      <c r="C96" s="31">
        <v>4.8972270880156676</v>
      </c>
      <c r="D96" s="31">
        <v>3.9530390830315421</v>
      </c>
      <c r="E96" s="31">
        <v>3.1800591976244732</v>
      </c>
      <c r="F96" s="31">
        <v>2.56182028024012</v>
      </c>
      <c r="G96" s="31">
        <v>2.081071647666346</v>
      </c>
      <c r="H96" s="31">
        <v>1.7197790850331991</v>
      </c>
      <c r="I96" s="31">
        <v>1.459124845812924</v>
      </c>
      <c r="J96" s="31">
        <v>1.279507651819948</v>
      </c>
      <c r="K96" s="31">
        <v>1.160542693210898</v>
      </c>
      <c r="L96" s="31">
        <v>1.0810616284845911</v>
      </c>
      <c r="M96" s="31">
        <v>1.019112584482029</v>
      </c>
      <c r="N96" s="31">
        <v>0.95196015638641984</v>
      </c>
      <c r="O96" s="31">
        <v>0.85608540772314468</v>
      </c>
      <c r="P96" s="31">
        <v>0.70718587035978242</v>
      </c>
      <c r="Q96" s="31">
        <v>0.48017554450611932</v>
      </c>
      <c r="R96" s="32">
        <v>0.1491848987141165</v>
      </c>
    </row>
    <row r="97" spans="1:18" x14ac:dyDescent="0.25">
      <c r="A97" s="30">
        <v>388</v>
      </c>
      <c r="B97" s="31">
        <v>6.2485555165189126</v>
      </c>
      <c r="C97" s="31">
        <v>5.0696112683567316</v>
      </c>
      <c r="D97" s="31">
        <v>4.085183810997588</v>
      </c>
      <c r="E97" s="31">
        <v>3.2789520678297088</v>
      </c>
      <c r="F97" s="31">
        <v>2.6338114305835201</v>
      </c>
      <c r="G97" s="31">
        <v>2.1318737593316328</v>
      </c>
      <c r="H97" s="31">
        <v>1.754467382488857</v>
      </c>
      <c r="I97" s="31">
        <v>1.4821370968121901</v>
      </c>
      <c r="J97" s="31">
        <v>1.2946441674008189</v>
      </c>
      <c r="K97" s="31">
        <v>1.170966327696118</v>
      </c>
      <c r="L97" s="31">
        <v>1.0892977794816729</v>
      </c>
      <c r="M97" s="31">
        <v>1.0270491928832379</v>
      </c>
      <c r="N97" s="31">
        <v>0.96084770636876327</v>
      </c>
      <c r="O97" s="31">
        <v>0.86653692674840788</v>
      </c>
      <c r="P97" s="31">
        <v>0.71917692917450116</v>
      </c>
      <c r="Q97" s="31">
        <v>0.49304425714156958</v>
      </c>
      <c r="R97" s="32">
        <v>0.1616319224863414</v>
      </c>
    </row>
    <row r="98" spans="1:18" x14ac:dyDescent="0.25">
      <c r="A98" s="30">
        <v>408</v>
      </c>
      <c r="B98" s="31">
        <v>6.4841537761435326</v>
      </c>
      <c r="C98" s="31">
        <v>5.2547316098936614</v>
      </c>
      <c r="D98" s="31">
        <v>4.2276965032793186</v>
      </c>
      <c r="E98" s="31">
        <v>3.386089922973496</v>
      </c>
      <c r="F98" s="31">
        <v>2.712169803991368</v>
      </c>
      <c r="G98" s="31">
        <v>2.1874105496903091</v>
      </c>
      <c r="H98" s="31">
        <v>1.79250303176988</v>
      </c>
      <c r="I98" s="31">
        <v>1.5073545902718331</v>
      </c>
      <c r="J98" s="31">
        <v>1.3110890335801171</v>
      </c>
      <c r="K98" s="31">
        <v>1.1820466384208581</v>
      </c>
      <c r="L98" s="31">
        <v>1.097784149862399</v>
      </c>
      <c r="M98" s="31">
        <v>1.035074781315245</v>
      </c>
      <c r="N98" s="31">
        <v>0.96990821453211828</v>
      </c>
      <c r="O98" s="31">
        <v>0.87749059960791365</v>
      </c>
      <c r="P98" s="31">
        <v>0.73224455497973018</v>
      </c>
      <c r="Q98" s="31">
        <v>0.50780916742685278</v>
      </c>
      <c r="R98" s="32">
        <v>0.17703999207075499</v>
      </c>
    </row>
    <row r="99" spans="1:18" x14ac:dyDescent="0.25">
      <c r="A99" s="30">
        <v>428</v>
      </c>
      <c r="B99" s="31">
        <v>6.7357714700035674</v>
      </c>
      <c r="C99" s="31">
        <v>5.4532337908877384</v>
      </c>
      <c r="D99" s="31">
        <v>4.3811986577429716</v>
      </c>
      <c r="E99" s="31">
        <v>3.5020700805270129</v>
      </c>
      <c r="F99" s="31">
        <v>2.7974685375397961</v>
      </c>
      <c r="G99" s="31">
        <v>2.248230975423446</v>
      </c>
      <c r="H99" s="31">
        <v>1.834410809162285</v>
      </c>
      <c r="I99" s="31">
        <v>1.5352779220828201</v>
      </c>
      <c r="J99" s="31">
        <v>1.329318665853751</v>
      </c>
      <c r="K99" s="31">
        <v>1.194235860485972</v>
      </c>
      <c r="L99" s="31">
        <v>1.1069487943325691</v>
      </c>
      <c r="M99" s="31">
        <v>1.0435932240888131</v>
      </c>
      <c r="N99" s="31">
        <v>0.97952137479217571</v>
      </c>
      <c r="O99" s="31">
        <v>0.88930193982231398</v>
      </c>
      <c r="P99" s="31">
        <v>0.74672008090107345</v>
      </c>
      <c r="Q99" s="31">
        <v>0.52477742809250738</v>
      </c>
      <c r="R99" s="32">
        <v>0.1956920798028339</v>
      </c>
    </row>
    <row r="100" spans="1:18" x14ac:dyDescent="0.25">
      <c r="A100" s="30">
        <v>448</v>
      </c>
      <c r="B100" s="31">
        <v>7.0040016730153987</v>
      </c>
      <c r="C100" s="31">
        <v>5.6656867058602911</v>
      </c>
      <c r="D100" s="31">
        <v>4.5462349885148194</v>
      </c>
      <c r="E100" s="31">
        <v>3.6274130742214798</v>
      </c>
      <c r="F100" s="31">
        <v>2.890203984564963</v>
      </c>
      <c r="G100" s="31">
        <v>2.3148072094721539</v>
      </c>
      <c r="H100" s="31">
        <v>1.880638707212128</v>
      </c>
      <c r="I100" s="31">
        <v>1.5663309043961511</v>
      </c>
      <c r="J100" s="31">
        <v>1.349732695977677</v>
      </c>
      <c r="K100" s="31">
        <v>1.207909445252354</v>
      </c>
      <c r="L100" s="31">
        <v>1.1171429838580269</v>
      </c>
      <c r="M100" s="31">
        <v>1.0529316117747261</v>
      </c>
      <c r="N100" s="31">
        <v>0.98999009732466781</v>
      </c>
      <c r="O100" s="31">
        <v>0.90224967717228066</v>
      </c>
      <c r="P100" s="31">
        <v>0.76285805632415837</v>
      </c>
      <c r="Q100" s="31">
        <v>0.54417940812910359</v>
      </c>
      <c r="R100" s="32">
        <v>0.217794374278105</v>
      </c>
    </row>
    <row r="101" spans="1:18" x14ac:dyDescent="0.25">
      <c r="A101" s="30">
        <v>468</v>
      </c>
      <c r="B101" s="31">
        <v>7.2893606763554377</v>
      </c>
      <c r="C101" s="31">
        <v>5.8925824655926782</v>
      </c>
      <c r="D101" s="31">
        <v>4.7232734259811631</v>
      </c>
      <c r="E101" s="31">
        <v>3.7625626540481432</v>
      </c>
      <c r="F101" s="31">
        <v>2.9907957146630681</v>
      </c>
      <c r="G101" s="31">
        <v>2.3875346410375751</v>
      </c>
      <c r="H101" s="31">
        <v>1.931557934725499</v>
      </c>
      <c r="I101" s="31">
        <v>1.6008605656228581</v>
      </c>
      <c r="J101" s="31">
        <v>1.372653971967867</v>
      </c>
      <c r="K101" s="31">
        <v>1.2233660603409271</v>
      </c>
      <c r="L101" s="31">
        <v>1.128641205664642</v>
      </c>
      <c r="M101" s="31">
        <v>1.0633402512037939</v>
      </c>
      <c r="N101" s="31">
        <v>1.001540508565361</v>
      </c>
      <c r="O101" s="31">
        <v>0.91653575769851692</v>
      </c>
      <c r="P101" s="31">
        <v>0.78083624689462194</v>
      </c>
      <c r="Q101" s="31">
        <v>0.56616869278724391</v>
      </c>
      <c r="R101" s="32">
        <v>0.24347628035210361</v>
      </c>
    </row>
    <row r="102" spans="1:18" x14ac:dyDescent="0.25">
      <c r="A102" s="30">
        <v>488</v>
      </c>
      <c r="B102" s="31">
        <v>7.592287987460149</v>
      </c>
      <c r="C102" s="31">
        <v>6.1343363971263116</v>
      </c>
      <c r="D102" s="31">
        <v>4.9127051167883593</v>
      </c>
      <c r="E102" s="31">
        <v>3.9078857862583072</v>
      </c>
      <c r="F102" s="31">
        <v>3.0995865136903551</v>
      </c>
      <c r="G102" s="31">
        <v>2.4667318755809031</v>
      </c>
      <c r="H102" s="31">
        <v>1.987462916768536</v>
      </c>
      <c r="I102" s="31">
        <v>1.63913715043403</v>
      </c>
      <c r="J102" s="31">
        <v>1.3983285581003559</v>
      </c>
      <c r="K102" s="31">
        <v>1.240827589632673</v>
      </c>
      <c r="L102" s="31">
        <v>1.141641163238341</v>
      </c>
      <c r="M102" s="31">
        <v>1.074992665466888</v>
      </c>
      <c r="N102" s="31">
        <v>1.0143219512100661</v>
      </c>
      <c r="O102" s="31">
        <v>0.93228534370180161</v>
      </c>
      <c r="P102" s="31">
        <v>0.80075563451819065</v>
      </c>
      <c r="Q102" s="31">
        <v>0.59082208357757093</v>
      </c>
      <c r="R102" s="32">
        <v>0.27279041914043672</v>
      </c>
    </row>
    <row r="103" spans="1:18" x14ac:dyDescent="0.25">
      <c r="A103" s="30">
        <v>508</v>
      </c>
      <c r="B103" s="31">
        <v>7.9131463300260219</v>
      </c>
      <c r="C103" s="31">
        <v>6.3912870437626204</v>
      </c>
      <c r="D103" s="31">
        <v>5.1148444238427926</v>
      </c>
      <c r="E103" s="31">
        <v>4.0636726533633007</v>
      </c>
      <c r="F103" s="31">
        <v>3.2168423837631051</v>
      </c>
      <c r="G103" s="31">
        <v>2.552640734823358</v>
      </c>
      <c r="H103" s="31">
        <v>2.0485712946674068</v>
      </c>
      <c r="I103" s="31">
        <v>1.6813541197607831</v>
      </c>
      <c r="J103" s="31">
        <v>1.4269257349112059</v>
      </c>
      <c r="K103" s="31">
        <v>1.2604391332685989</v>
      </c>
      <c r="L103" s="31">
        <v>1.156263776325074</v>
      </c>
      <c r="M103" s="31">
        <v>1.0879855939149179</v>
      </c>
      <c r="N103" s="31">
        <v>1.0284069842146331</v>
      </c>
      <c r="O103" s="31">
        <v>0.94954681374289895</v>
      </c>
      <c r="P103" s="31">
        <v>0.82264041736059124</v>
      </c>
      <c r="Q103" s="31">
        <v>0.61813959827078335</v>
      </c>
      <c r="R103" s="32">
        <v>0.30571262801872662</v>
      </c>
    </row>
    <row r="104" spans="1:18" x14ac:dyDescent="0.25">
      <c r="A104" s="30">
        <v>528</v>
      </c>
      <c r="B104" s="31">
        <v>8.2522216440095857</v>
      </c>
      <c r="C104" s="31">
        <v>6.6636961650630893</v>
      </c>
      <c r="D104" s="31">
        <v>5.3299289263108838</v>
      </c>
      <c r="E104" s="31">
        <v>4.2301366541344914</v>
      </c>
      <c r="F104" s="31">
        <v>3.3427525432576299</v>
      </c>
      <c r="G104" s="31">
        <v>2.6454262567462101</v>
      </c>
      <c r="H104" s="31">
        <v>2.1150239260083268</v>
      </c>
      <c r="I104" s="31">
        <v>1.727628150794267</v>
      </c>
      <c r="J104" s="31">
        <v>1.4585379991965199</v>
      </c>
      <c r="K104" s="31">
        <v>1.2822690076497529</v>
      </c>
      <c r="L104" s="31">
        <v>1.1725531809308321</v>
      </c>
      <c r="M104" s="31">
        <v>1.102338992158814</v>
      </c>
      <c r="N104" s="31">
        <v>1.0437913827949521</v>
      </c>
      <c r="O104" s="31">
        <v>0.96829176264267502</v>
      </c>
      <c r="P104" s="31">
        <v>0.84643800984762141</v>
      </c>
      <c r="Q104" s="31">
        <v>0.64804447089761663</v>
      </c>
      <c r="R104" s="32">
        <v>0.34214196062266028</v>
      </c>
    </row>
    <row r="105" spans="1:18" x14ac:dyDescent="0.25">
      <c r="A105" s="30">
        <v>548</v>
      </c>
      <c r="B105" s="31">
        <v>8.6097230856274205</v>
      </c>
      <c r="C105" s="31">
        <v>6.9517487368492361</v>
      </c>
      <c r="D105" s="31">
        <v>5.5581194196190991</v>
      </c>
      <c r="E105" s="31">
        <v>4.4074144036032958</v>
      </c>
      <c r="F105" s="31">
        <v>3.4774294268102901</v>
      </c>
      <c r="G105" s="31">
        <v>2.7451766955907511</v>
      </c>
      <c r="H105" s="31">
        <v>2.1868848846375331</v>
      </c>
      <c r="I105" s="31">
        <v>1.7779991369856789</v>
      </c>
      <c r="J105" s="31">
        <v>1.493181064012431</v>
      </c>
      <c r="K105" s="31">
        <v>1.3063087454372111</v>
      </c>
      <c r="L105" s="31">
        <v>1.190476729321656</v>
      </c>
      <c r="M105" s="31">
        <v>1.117996032069561</v>
      </c>
      <c r="N105" s="31">
        <v>1.060394138426938</v>
      </c>
      <c r="O105" s="31">
        <v>0.98841500148198091</v>
      </c>
      <c r="P105" s="31">
        <v>0.87201904266507058</v>
      </c>
      <c r="Q105" s="31">
        <v>0.68038315174879549</v>
      </c>
      <c r="R105" s="32">
        <v>0.38190068684793649</v>
      </c>
    </row>
    <row r="106" spans="1:18" x14ac:dyDescent="0.25">
      <c r="A106" s="30">
        <v>568</v>
      </c>
      <c r="B106" s="31">
        <v>8.9857830273561277</v>
      </c>
      <c r="C106" s="31">
        <v>7.2555529512026098</v>
      </c>
      <c r="D106" s="31">
        <v>5.7994999154539419</v>
      </c>
      <c r="E106" s="31">
        <v>4.5955657330611501</v>
      </c>
      <c r="F106" s="31">
        <v>3.6209086853174721</v>
      </c>
      <c r="G106" s="31">
        <v>2.851903521858322</v>
      </c>
      <c r="H106" s="31">
        <v>2.2641414606613139</v>
      </c>
      <c r="I106" s="31">
        <v>1.832430188046245</v>
      </c>
      <c r="J106" s="31">
        <v>1.530793858675118</v>
      </c>
      <c r="K106" s="31">
        <v>1.3324730955521089</v>
      </c>
      <c r="L106" s="31">
        <v>1.2099249900236011</v>
      </c>
      <c r="M106" s="31">
        <v>1.13482310177816</v>
      </c>
      <c r="N106" s="31">
        <v>1.078057458846547</v>
      </c>
      <c r="O106" s="31">
        <v>1.009734557601716</v>
      </c>
      <c r="P106" s="31">
        <v>0.89917736275880711</v>
      </c>
      <c r="Q106" s="31">
        <v>0.71492530737515381</v>
      </c>
      <c r="R106" s="32">
        <v>0.42473429285029057</v>
      </c>
    </row>
    <row r="107" spans="1:18" x14ac:dyDescent="0.25">
      <c r="A107" s="30">
        <v>588</v>
      </c>
      <c r="B107" s="31">
        <v>9.3804570579323538</v>
      </c>
      <c r="C107" s="31">
        <v>7.5751402164648081</v>
      </c>
      <c r="D107" s="31">
        <v>6.0540776417619471</v>
      </c>
      <c r="E107" s="31">
        <v>4.7945736900595533</v>
      </c>
      <c r="F107" s="31">
        <v>3.7731491859356132</v>
      </c>
      <c r="G107" s="31">
        <v>2.9655414223103049</v>
      </c>
      <c r="H107" s="31">
        <v>2.3467041604459968</v>
      </c>
      <c r="I107" s="31">
        <v>1.8908076299472449</v>
      </c>
      <c r="J107" s="31">
        <v>1.5712385287608031</v>
      </c>
      <c r="K107" s="31">
        <v>1.3606000231756039</v>
      </c>
      <c r="L107" s="31">
        <v>1.23071174782279</v>
      </c>
      <c r="M107" s="31">
        <v>1.1526098056756819</v>
      </c>
      <c r="N107" s="31">
        <v>1.096546768049794</v>
      </c>
      <c r="O107" s="31">
        <v>1.0319916746028379</v>
      </c>
      <c r="P107" s="31">
        <v>0.92763003333471661</v>
      </c>
      <c r="Q107" s="31">
        <v>0.75136382058751028</v>
      </c>
      <c r="R107" s="32">
        <v>0.47031148104551512</v>
      </c>
    </row>
    <row r="108" spans="1:18" x14ac:dyDescent="0.25">
      <c r="A108" s="30">
        <v>608</v>
      </c>
      <c r="B108" s="31">
        <v>9.7937239823527875</v>
      </c>
      <c r="C108" s="31">
        <v>7.9104651572374607</v>
      </c>
      <c r="D108" s="31">
        <v>6.3217830427496828</v>
      </c>
      <c r="E108" s="31">
        <v>5.0043445384100096</v>
      </c>
      <c r="F108" s="31">
        <v>3.934033012081172</v>
      </c>
      <c r="G108" s="31">
        <v>3.0859482999681069</v>
      </c>
      <c r="H108" s="31">
        <v>2.4344067066179349</v>
      </c>
      <c r="I108" s="31">
        <v>1.952941004919972</v>
      </c>
      <c r="J108" s="31">
        <v>1.614300436105724</v>
      </c>
      <c r="K108" s="31">
        <v>1.3904507097488861</v>
      </c>
      <c r="L108" s="31">
        <v>1.2525740037653521</v>
      </c>
      <c r="M108" s="31">
        <v>1.1710689644132051</v>
      </c>
      <c r="N108" s="31">
        <v>1.1155507062927099</v>
      </c>
      <c r="O108" s="31">
        <v>1.0548508123463329</v>
      </c>
      <c r="P108" s="31">
        <v>0.95701733385873022</v>
      </c>
      <c r="Q108" s="31">
        <v>0.78931479045675335</v>
      </c>
      <c r="R108" s="32">
        <v>0.51822417010943223</v>
      </c>
    </row>
    <row r="109" spans="1:18" x14ac:dyDescent="0.25">
      <c r="A109" s="30">
        <v>628</v>
      </c>
      <c r="B109" s="31">
        <v>10.225485821874139</v>
      </c>
      <c r="C109" s="31">
        <v>8.2614056143822303</v>
      </c>
      <c r="D109" s="31">
        <v>6.6024697788837807</v>
      </c>
      <c r="E109" s="31">
        <v>5.2247077581840946</v>
      </c>
      <c r="F109" s="31">
        <v>4.1033654634306673</v>
      </c>
      <c r="G109" s="31">
        <v>3.212905274113186</v>
      </c>
      <c r="H109" s="31">
        <v>2.5270060380635382</v>
      </c>
      <c r="I109" s="31">
        <v>2.0185630714557852</v>
      </c>
      <c r="J109" s="31">
        <v>1.65968815880619</v>
      </c>
      <c r="K109" s="31">
        <v>1.4217095529732089</v>
      </c>
      <c r="L109" s="31">
        <v>1.275171975157493</v>
      </c>
      <c r="M109" s="31">
        <v>1.1898366149018651</v>
      </c>
      <c r="N109" s="31">
        <v>1.1346811300913691</v>
      </c>
      <c r="O109" s="31">
        <v>1.0778996469532169</v>
      </c>
      <c r="P109" s="31">
        <v>0.98690276005681898</v>
      </c>
      <c r="Q109" s="31">
        <v>0.82831753231378236</v>
      </c>
      <c r="R109" s="32">
        <v>0.56798749497790446</v>
      </c>
    </row>
    <row r="110" spans="1:18" x14ac:dyDescent="0.25">
      <c r="A110" s="30">
        <v>648</v>
      </c>
      <c r="B110" s="31">
        <v>10.67556781401319</v>
      </c>
      <c r="C110" s="31">
        <v>8.6277626450208356</v>
      </c>
      <c r="D110" s="31">
        <v>6.8959147268908838</v>
      </c>
      <c r="E110" s="31">
        <v>5.4554160457134033</v>
      </c>
      <c r="F110" s="31">
        <v>4.2808750559206414</v>
      </c>
      <c r="G110" s="31">
        <v>3.346116680287035</v>
      </c>
      <c r="H110" s="31">
        <v>2.6241823099292301</v>
      </c>
      <c r="I110" s="31">
        <v>2.087329804306052</v>
      </c>
      <c r="J110" s="31">
        <v>1.7070334912185221</v>
      </c>
      <c r="K110" s="31">
        <v>1.453984166809835</v>
      </c>
      <c r="L110" s="31">
        <v>1.2980890955654101</v>
      </c>
      <c r="M110" s="31">
        <v>1.208472010312833</v>
      </c>
      <c r="N110" s="31">
        <v>1.1534731122218871</v>
      </c>
      <c r="O110" s="31">
        <v>1.10064907080455</v>
      </c>
      <c r="P110" s="31">
        <v>1.016773023914991</v>
      </c>
      <c r="Q110" s="31">
        <v>0.86783457774956552</v>
      </c>
      <c r="R110" s="32">
        <v>0.61903980684682303</v>
      </c>
    </row>
    <row r="111" spans="1:18" x14ac:dyDescent="0.25">
      <c r="A111" s="30">
        <v>668</v>
      </c>
      <c r="B111" s="31">
        <v>11.14371841254672</v>
      </c>
      <c r="C111" s="31">
        <v>9.0092605225350137</v>
      </c>
      <c r="D111" s="31">
        <v>7.2018179797576876</v>
      </c>
      <c r="E111" s="31">
        <v>5.6961453135895752</v>
      </c>
      <c r="F111" s="31">
        <v>4.4662135217476706</v>
      </c>
      <c r="G111" s="31">
        <v>3.485210070291183</v>
      </c>
      <c r="H111" s="31">
        <v>2.7255388936215041</v>
      </c>
      <c r="I111" s="31">
        <v>2.15882039448221</v>
      </c>
      <c r="J111" s="31">
        <v>1.7558914439590849</v>
      </c>
      <c r="K111" s="31">
        <v>1.486805381480085</v>
      </c>
      <c r="L111" s="31">
        <v>1.3208320148153809</v>
      </c>
      <c r="M111" s="31">
        <v>1.2264576200773121</v>
      </c>
      <c r="N111" s="31">
        <v>1.171384941720417</v>
      </c>
      <c r="O111" s="31">
        <v>1.1225331925414319</v>
      </c>
      <c r="P111" s="31">
        <v>1.046038053679287</v>
      </c>
      <c r="Q111" s="31">
        <v>0.90725167461507872</v>
      </c>
      <c r="R111" s="32">
        <v>0.67074267317215164</v>
      </c>
    </row>
    <row r="112" spans="1:18" x14ac:dyDescent="0.25">
      <c r="A112" s="30">
        <v>688</v>
      </c>
      <c r="B112" s="31">
        <v>11.629609287511579</v>
      </c>
      <c r="C112" s="31">
        <v>9.4055467365665422</v>
      </c>
      <c r="D112" s="31">
        <v>7.5198028467309177</v>
      </c>
      <c r="E112" s="31">
        <v>5.946494690664279</v>
      </c>
      <c r="F112" s="31">
        <v>4.6589558093683836</v>
      </c>
      <c r="G112" s="31">
        <v>3.629736212187193</v>
      </c>
      <c r="H112" s="31">
        <v>2.8306023768068602</v>
      </c>
      <c r="I112" s="31">
        <v>2.2325372492557158</v>
      </c>
      <c r="J112" s="31">
        <v>1.80574024390429</v>
      </c>
      <c r="K112" s="31">
        <v>1.519627243465312</v>
      </c>
      <c r="L112" s="31">
        <v>1.3428305989936971</v>
      </c>
      <c r="M112" s="31">
        <v>1.243199129886539</v>
      </c>
      <c r="N112" s="31">
        <v>1.187798123883147</v>
      </c>
      <c r="O112" s="31">
        <v>1.1429093370650001</v>
      </c>
      <c r="P112" s="31">
        <v>1.074030993855787</v>
      </c>
      <c r="Q112" s="31">
        <v>0.94587778702137348</v>
      </c>
      <c r="R112" s="32">
        <v>0.72238087766981884</v>
      </c>
    </row>
    <row r="113" spans="1:18" x14ac:dyDescent="0.25">
      <c r="A113" s="30">
        <v>708</v>
      </c>
      <c r="B113" s="31">
        <v>12.13283532520464</v>
      </c>
      <c r="C113" s="31">
        <v>9.8161919930172594</v>
      </c>
      <c r="D113" s="31">
        <v>7.8494158533173461</v>
      </c>
      <c r="E113" s="31">
        <v>6.2059865220492316</v>
      </c>
      <c r="F113" s="31">
        <v>4.8586000834994394</v>
      </c>
      <c r="G113" s="31">
        <v>3.7791690902966719</v>
      </c>
      <c r="H113" s="31">
        <v>2.9388225634118501</v>
      </c>
      <c r="I113" s="31">
        <v>2.3079059921580591</v>
      </c>
      <c r="J113" s="31">
        <v>1.855981334190582</v>
      </c>
      <c r="K113" s="31">
        <v>1.5518270155068961</v>
      </c>
      <c r="L113" s="31">
        <v>1.363437930446687</v>
      </c>
      <c r="M113" s="31">
        <v>1.2580254416918071</v>
      </c>
      <c r="N113" s="31">
        <v>1.202017380266303</v>
      </c>
      <c r="O113" s="31">
        <v>1.1610580455364179</v>
      </c>
      <c r="P113" s="31">
        <v>1.1000082052106011</v>
      </c>
      <c r="Q113" s="31">
        <v>0.98294509533947805</v>
      </c>
      <c r="R113" s="32">
        <v>0.77316242031585802</v>
      </c>
    </row>
    <row r="114" spans="1:18" x14ac:dyDescent="0.25">
      <c r="A114" s="30">
        <v>728</v>
      </c>
      <c r="B114" s="31">
        <v>12.65291462818281</v>
      </c>
      <c r="C114" s="31">
        <v>10.24069021404901</v>
      </c>
      <c r="D114" s="31">
        <v>8.1901267412837733</v>
      </c>
      <c r="E114" s="31">
        <v>6.4740663691161933</v>
      </c>
      <c r="F114" s="31">
        <v>5.0645677251175369</v>
      </c>
      <c r="G114" s="31">
        <v>3.9329059052012729</v>
      </c>
      <c r="H114" s="31">
        <v>3.0495724736230718</v>
      </c>
      <c r="I114" s="31">
        <v>2.3842754629807832</v>
      </c>
      <c r="J114" s="31">
        <v>1.905939374214439</v>
      </c>
      <c r="K114" s="31">
        <v>1.5827051766062821</v>
      </c>
      <c r="L114" s="31">
        <v>1.381930307780743</v>
      </c>
      <c r="M114" s="31">
        <v>1.2701886737044279</v>
      </c>
      <c r="N114" s="31">
        <v>1.2132706486861591</v>
      </c>
      <c r="O114" s="31">
        <v>1.17618307537693</v>
      </c>
      <c r="P114" s="31">
        <v>1.1231492647699259</v>
      </c>
      <c r="Q114" s="31">
        <v>1.017608996200537</v>
      </c>
      <c r="R114" s="32">
        <v>0.82221851734633777</v>
      </c>
    </row>
    <row r="115" spans="1:18" x14ac:dyDescent="0.25">
      <c r="A115" s="30">
        <v>748</v>
      </c>
      <c r="B115" s="31">
        <v>13.189288515263049</v>
      </c>
      <c r="C115" s="31">
        <v>10.678458538083699</v>
      </c>
      <c r="D115" s="31">
        <v>8.5413284686570545</v>
      </c>
      <c r="E115" s="31">
        <v>6.7501030094969403</v>
      </c>
      <c r="F115" s="31">
        <v>5.276203331459401</v>
      </c>
      <c r="G115" s="31">
        <v>4.0902670737426714</v>
      </c>
      <c r="H115" s="31">
        <v>3.162148343887154</v>
      </c>
      <c r="I115" s="31">
        <v>2.4609177177754571</v>
      </c>
      <c r="J115" s="31">
        <v>1.954862239632386</v>
      </c>
      <c r="K115" s="31">
        <v>1.611485422024924</v>
      </c>
      <c r="L115" s="31">
        <v>1.3975072458622639</v>
      </c>
      <c r="M115" s="31">
        <v>1.2788641603957711</v>
      </c>
      <c r="N115" s="31">
        <v>1.2207090832190131</v>
      </c>
      <c r="O115" s="31">
        <v>1.1874114002677449</v>
      </c>
      <c r="P115" s="31">
        <v>1.1425569658199211</v>
      </c>
      <c r="Q115" s="31">
        <v>1.0489481024956651</v>
      </c>
      <c r="R115" s="32">
        <v>0.86860360125734304</v>
      </c>
    </row>
    <row r="116" spans="1:18" x14ac:dyDescent="0.25">
      <c r="A116" s="33">
        <v>768</v>
      </c>
      <c r="B116" s="34">
        <v>13.741321521522339</v>
      </c>
      <c r="C116" s="34">
        <v>11.12883731980325</v>
      </c>
      <c r="D116" s="34">
        <v>8.902337209724049</v>
      </c>
      <c r="E116" s="34">
        <v>7.0333884370833077</v>
      </c>
      <c r="F116" s="34">
        <v>5.4927747160218194</v>
      </c>
      <c r="G116" s="34">
        <v>4.2504962290225761</v>
      </c>
      <c r="H116" s="34">
        <v>3.2757696269107499</v>
      </c>
      <c r="I116" s="34">
        <v>2.537028028853697</v>
      </c>
      <c r="J116" s="34">
        <v>2.0019210223609729</v>
      </c>
      <c r="K116" s="34">
        <v>1.6373146632843301</v>
      </c>
      <c r="L116" s="34">
        <v>1.409291475817704</v>
      </c>
      <c r="M116" s="34">
        <v>1.283150452497221</v>
      </c>
      <c r="N116" s="34">
        <v>1.2234070542012101</v>
      </c>
      <c r="O116" s="34">
        <v>1.193793210150176</v>
      </c>
      <c r="P116" s="34">
        <v>1.1572573179068231</v>
      </c>
      <c r="Q116" s="34">
        <v>1.075964243376063</v>
      </c>
      <c r="R116" s="35">
        <v>0.91129532080496567</v>
      </c>
    </row>
    <row r="119" spans="1:18" ht="28.9" customHeight="1" x14ac:dyDescent="0.5">
      <c r="A119" s="1" t="s">
        <v>31</v>
      </c>
    </row>
    <row r="120" spans="1:18" ht="32.1" customHeight="1" x14ac:dyDescent="0.25"/>
    <row r="121" spans="1:18" x14ac:dyDescent="0.25">
      <c r="A121" s="2"/>
      <c r="B121" s="3"/>
      <c r="C121" s="3"/>
      <c r="D121" s="4"/>
    </row>
    <row r="122" spans="1:18" x14ac:dyDescent="0.25">
      <c r="A122" s="5" t="s">
        <v>32</v>
      </c>
      <c r="B122" s="6">
        <v>4</v>
      </c>
      <c r="C122" s="6" t="s">
        <v>12</v>
      </c>
      <c r="D122" s="7"/>
    </row>
    <row r="123" spans="1:18" x14ac:dyDescent="0.25">
      <c r="A123" s="8"/>
      <c r="B123" s="9"/>
      <c r="C123" s="9"/>
      <c r="D123" s="10"/>
    </row>
    <row r="126" spans="1:18" ht="48" customHeight="1" x14ac:dyDescent="0.25">
      <c r="A126" s="21" t="s">
        <v>33</v>
      </c>
      <c r="B126" s="23" t="s">
        <v>34</v>
      </c>
    </row>
    <row r="127" spans="1:18" x14ac:dyDescent="0.25">
      <c r="A127" s="5">
        <v>0</v>
      </c>
      <c r="B127" s="32">
        <v>0.14999999999999991</v>
      </c>
    </row>
    <row r="128" spans="1:18" x14ac:dyDescent="0.25">
      <c r="A128" s="5">
        <v>0.125</v>
      </c>
      <c r="B128" s="32">
        <v>0.14689062500000041</v>
      </c>
    </row>
    <row r="129" spans="1:2" x14ac:dyDescent="0.25">
      <c r="A129" s="5">
        <v>0.25</v>
      </c>
      <c r="B129" s="32">
        <v>6.7520833333333474E-2</v>
      </c>
    </row>
    <row r="130" spans="1:2" x14ac:dyDescent="0.25">
      <c r="A130" s="5">
        <v>0.375</v>
      </c>
      <c r="B130" s="32">
        <v>-3.1742647058823459E-2</v>
      </c>
    </row>
    <row r="131" spans="1:2" x14ac:dyDescent="0.25">
      <c r="A131" s="5">
        <v>0.5</v>
      </c>
      <c r="B131" s="32">
        <v>-1.3249999999999981E-2</v>
      </c>
    </row>
    <row r="132" spans="1:2" x14ac:dyDescent="0.25">
      <c r="A132" s="5">
        <v>0.625</v>
      </c>
      <c r="B132" s="32">
        <v>8.9034653465347446E-3</v>
      </c>
    </row>
    <row r="133" spans="1:2" x14ac:dyDescent="0.25">
      <c r="A133" s="5">
        <v>0.75</v>
      </c>
      <c r="B133" s="32">
        <v>-7.6445544554453182E-3</v>
      </c>
    </row>
    <row r="134" spans="1:2" x14ac:dyDescent="0.25">
      <c r="A134" s="5">
        <v>0.875</v>
      </c>
      <c r="B134" s="32">
        <v>-2.4192574257425711E-2</v>
      </c>
    </row>
    <row r="135" spans="1:2" x14ac:dyDescent="0.25">
      <c r="A135" s="5">
        <v>1</v>
      </c>
      <c r="B135" s="32">
        <v>-4.0740594059405888E-2</v>
      </c>
    </row>
    <row r="136" spans="1:2" x14ac:dyDescent="0.25">
      <c r="A136" s="5">
        <v>1.125</v>
      </c>
      <c r="B136" s="32">
        <v>-4.164601769911503E-2</v>
      </c>
    </row>
    <row r="137" spans="1:2" x14ac:dyDescent="0.25">
      <c r="A137" s="5">
        <v>1.25</v>
      </c>
      <c r="B137" s="32">
        <v>-3.4327586206896347E-2</v>
      </c>
    </row>
    <row r="138" spans="1:2" x14ac:dyDescent="0.25">
      <c r="A138" s="5">
        <v>1.375</v>
      </c>
      <c r="B138" s="32">
        <v>-2.9974137931034431E-2</v>
      </c>
    </row>
    <row r="139" spans="1:2" x14ac:dyDescent="0.25">
      <c r="A139" s="5">
        <v>1.5</v>
      </c>
      <c r="B139" s="32">
        <v>-2.562068965517228E-2</v>
      </c>
    </row>
    <row r="140" spans="1:2" x14ac:dyDescent="0.25">
      <c r="A140" s="5">
        <v>1.625</v>
      </c>
      <c r="B140" s="32">
        <v>-2.305932203389827E-2</v>
      </c>
    </row>
    <row r="141" spans="1:2" x14ac:dyDescent="0.25">
      <c r="A141" s="5">
        <v>1.75</v>
      </c>
      <c r="B141" s="32">
        <v>-2.089830508474555E-2</v>
      </c>
    </row>
    <row r="142" spans="1:2" x14ac:dyDescent="0.25">
      <c r="A142" s="5">
        <v>1.875</v>
      </c>
      <c r="B142" s="32">
        <v>-1.8737288135593281E-2</v>
      </c>
    </row>
    <row r="143" spans="1:2" x14ac:dyDescent="0.25">
      <c r="A143" s="5">
        <v>2</v>
      </c>
      <c r="B143" s="32">
        <v>-1.657627118644078E-2</v>
      </c>
    </row>
    <row r="144" spans="1:2" x14ac:dyDescent="0.25">
      <c r="A144" s="5">
        <v>2.125</v>
      </c>
      <c r="B144" s="32">
        <v>-1.5173400673400559E-2</v>
      </c>
    </row>
    <row r="145" spans="1:2" x14ac:dyDescent="0.25">
      <c r="A145" s="5">
        <v>2.25</v>
      </c>
      <c r="B145" s="32">
        <v>-1.386868686868703E-2</v>
      </c>
    </row>
    <row r="146" spans="1:2" x14ac:dyDescent="0.25">
      <c r="A146" s="5">
        <v>2.375</v>
      </c>
      <c r="B146" s="32">
        <v>-1.256397306397283E-2</v>
      </c>
    </row>
    <row r="147" spans="1:2" x14ac:dyDescent="0.25">
      <c r="A147" s="5">
        <v>2.5</v>
      </c>
      <c r="B147" s="32">
        <v>-1.1259259259259521E-2</v>
      </c>
    </row>
    <row r="148" spans="1:2" x14ac:dyDescent="0.25">
      <c r="A148" s="5">
        <v>2.625</v>
      </c>
      <c r="B148" s="32">
        <v>-9.9545454545453271E-3</v>
      </c>
    </row>
    <row r="149" spans="1:2" x14ac:dyDescent="0.25">
      <c r="A149" s="5">
        <v>2.75</v>
      </c>
      <c r="B149" s="32">
        <v>-8.6498316498315742E-3</v>
      </c>
    </row>
    <row r="150" spans="1:2" x14ac:dyDescent="0.25">
      <c r="A150" s="5">
        <v>2.875</v>
      </c>
      <c r="B150" s="32">
        <v>-7.3451178451175991E-3</v>
      </c>
    </row>
    <row r="151" spans="1:2" x14ac:dyDescent="0.25">
      <c r="A151" s="5">
        <v>3</v>
      </c>
      <c r="B151" s="32">
        <v>-6.0404040404036241E-3</v>
      </c>
    </row>
    <row r="152" spans="1:2" x14ac:dyDescent="0.25">
      <c r="A152" s="5">
        <v>3.125</v>
      </c>
      <c r="B152" s="32">
        <v>-4.3226351351350889E-3</v>
      </c>
    </row>
    <row r="153" spans="1:2" x14ac:dyDescent="0.25">
      <c r="A153" s="5">
        <v>3.25</v>
      </c>
      <c r="B153" s="32">
        <v>-2.5912162162156078E-3</v>
      </c>
    </row>
    <row r="154" spans="1:2" x14ac:dyDescent="0.25">
      <c r="A154" s="5">
        <v>3.375</v>
      </c>
      <c r="B154" s="32">
        <v>-8.5979729729701582E-4</v>
      </c>
    </row>
    <row r="155" spans="1:2" x14ac:dyDescent="0.25">
      <c r="A155" s="5">
        <v>3.5</v>
      </c>
      <c r="B155" s="32">
        <v>8.7162162162157664E-4</v>
      </c>
    </row>
    <row r="156" spans="1:2" x14ac:dyDescent="0.25">
      <c r="A156" s="5">
        <v>3.625</v>
      </c>
      <c r="B156" s="32">
        <v>2.6030405405406132E-3</v>
      </c>
    </row>
    <row r="157" spans="1:2" x14ac:dyDescent="0.25">
      <c r="A157" s="5">
        <v>3.75</v>
      </c>
      <c r="B157" s="32">
        <v>4.3344594594596497E-3</v>
      </c>
    </row>
    <row r="158" spans="1:2" x14ac:dyDescent="0.25">
      <c r="A158" s="5">
        <v>3.875</v>
      </c>
      <c r="B158" s="32">
        <v>6.0658783783786863E-3</v>
      </c>
    </row>
    <row r="159" spans="1:2" x14ac:dyDescent="0.25">
      <c r="A159" s="8">
        <v>4</v>
      </c>
      <c r="B159" s="35">
        <v>7.9656357388315779E-3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AH127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44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6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300</v>
      </c>
      <c r="C24" s="13" t="s">
        <v>8</v>
      </c>
      <c r="D24" s="14"/>
    </row>
    <row r="25" spans="1:4" x14ac:dyDescent="0.25">
      <c r="A25" s="5" t="s">
        <v>9</v>
      </c>
      <c r="B25" s="13">
        <v>14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11</v>
      </c>
      <c r="B31" s="6">
        <v>0.18999999999999989</v>
      </c>
      <c r="C31" s="6" t="s">
        <v>12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13</v>
      </c>
    </row>
    <row r="37" spans="1:5" x14ac:dyDescent="0.25">
      <c r="A37" s="17" t="s">
        <v>14</v>
      </c>
      <c r="B37" s="36">
        <v>100</v>
      </c>
      <c r="C37" s="17" t="s">
        <v>15</v>
      </c>
      <c r="D37" s="17" t="s">
        <v>16</v>
      </c>
      <c r="E37" s="17"/>
    </row>
    <row r="38" spans="1:5" hidden="1" x14ac:dyDescent="0.25">
      <c r="A38" s="17" t="s">
        <v>17</v>
      </c>
      <c r="B38" s="17">
        <v>14.7</v>
      </c>
      <c r="C38" s="17"/>
      <c r="D38" s="17" t="s">
        <v>16</v>
      </c>
      <c r="E38" s="17"/>
    </row>
    <row r="39" spans="1:5" hidden="1" x14ac:dyDescent="0.25">
      <c r="A39" s="17" t="s">
        <v>18</v>
      </c>
      <c r="B39" s="17">
        <v>9.0079999999999991</v>
      </c>
      <c r="C39" s="17"/>
      <c r="D39" s="17" t="s">
        <v>16</v>
      </c>
      <c r="E39" s="17"/>
    </row>
    <row r="41" spans="1:5" ht="48" customHeight="1" x14ac:dyDescent="0.25">
      <c r="A41" s="18" t="s">
        <v>19</v>
      </c>
      <c r="B41" s="19" t="s">
        <v>20</v>
      </c>
      <c r="C41" s="19" t="s">
        <v>21</v>
      </c>
      <c r="D41" s="19" t="s">
        <v>22</v>
      </c>
      <c r="E41" s="20" t="s">
        <v>23</v>
      </c>
    </row>
    <row r="42" spans="1:5" x14ac:dyDescent="0.25">
      <c r="A42" s="5">
        <v>-80</v>
      </c>
      <c r="B42" s="6">
        <v>89.778064868868938</v>
      </c>
      <c r="C42" s="6">
        <f>89.7780648688689 * $B$37 / 100</f>
        <v>89.778064868868896</v>
      </c>
      <c r="D42" s="6">
        <v>11.31183666666667</v>
      </c>
      <c r="E42" s="7">
        <f>11.3118366666666 * $B$37 / 100</f>
        <v>11.311836666666601</v>
      </c>
    </row>
    <row r="43" spans="1:5" x14ac:dyDescent="0.25">
      <c r="A43" s="5">
        <v>-70</v>
      </c>
      <c r="B43" s="6">
        <v>91.199465599040551</v>
      </c>
      <c r="C43" s="6">
        <f>91.1994655990405 * $B$37 / 100</f>
        <v>91.199465599040479</v>
      </c>
      <c r="D43" s="6">
        <v>11.490930000000001</v>
      </c>
      <c r="E43" s="7">
        <f>11.4909299999999 * $B$37 / 100</f>
        <v>11.490929999999899</v>
      </c>
    </row>
    <row r="44" spans="1:5" x14ac:dyDescent="0.25">
      <c r="A44" s="5">
        <v>-60</v>
      </c>
      <c r="B44" s="6">
        <v>92.620866329212163</v>
      </c>
      <c r="C44" s="6">
        <f>92.6208663292121 * $B$37 / 100</f>
        <v>92.620866329212106</v>
      </c>
      <c r="D44" s="6">
        <v>11.670023333333329</v>
      </c>
      <c r="E44" s="7">
        <f>11.6700233333333 * $B$37 / 100</f>
        <v>11.670023333333299</v>
      </c>
    </row>
    <row r="45" spans="1:5" x14ac:dyDescent="0.25">
      <c r="A45" s="5">
        <v>-50</v>
      </c>
      <c r="B45" s="6">
        <v>94.042267059383761</v>
      </c>
      <c r="C45" s="6">
        <f>94.0422670593837 * $B$37 / 100</f>
        <v>94.042267059383704</v>
      </c>
      <c r="D45" s="6">
        <v>11.849116666666671</v>
      </c>
      <c r="E45" s="7">
        <f>11.8491166666666 * $B$37 / 100</f>
        <v>11.8491166666666</v>
      </c>
    </row>
    <row r="46" spans="1:5" x14ac:dyDescent="0.25">
      <c r="A46" s="5">
        <v>-40</v>
      </c>
      <c r="B46" s="6">
        <v>95.463667789555373</v>
      </c>
      <c r="C46" s="6">
        <f>95.4636677895553 * $B$37 / 100</f>
        <v>95.463667789555288</v>
      </c>
      <c r="D46" s="6">
        <v>12.02821</v>
      </c>
      <c r="E46" s="7">
        <f>12.02821 * $B$37 / 100</f>
        <v>12.02821</v>
      </c>
    </row>
    <row r="47" spans="1:5" x14ac:dyDescent="0.25">
      <c r="A47" s="5">
        <v>-30</v>
      </c>
      <c r="B47" s="6">
        <v>96.885068519726985</v>
      </c>
      <c r="C47" s="6">
        <f>96.8850685197269 * $B$37 / 100</f>
        <v>96.8850685197269</v>
      </c>
      <c r="D47" s="6">
        <v>12.20730333333333</v>
      </c>
      <c r="E47" s="7">
        <f>12.2073033333333 * $B$37 / 100</f>
        <v>12.2073033333333</v>
      </c>
    </row>
    <row r="48" spans="1:5" x14ac:dyDescent="0.25">
      <c r="A48" s="5">
        <v>-20</v>
      </c>
      <c r="B48" s="6">
        <v>98.306469249898598</v>
      </c>
      <c r="C48" s="6">
        <f>98.3064692498986 * $B$37 / 100</f>
        <v>98.306469249898598</v>
      </c>
      <c r="D48" s="6">
        <v>12.38639666666667</v>
      </c>
      <c r="E48" s="7">
        <f>12.3863966666666 * $B$37 / 100</f>
        <v>12.386396666666601</v>
      </c>
    </row>
    <row r="49" spans="1:18" x14ac:dyDescent="0.25">
      <c r="A49" s="5">
        <v>-10</v>
      </c>
      <c r="B49" s="6">
        <v>99.727869980070196</v>
      </c>
      <c r="C49" s="6">
        <f>99.7278699800702 * $B$37 / 100</f>
        <v>99.727869980070196</v>
      </c>
      <c r="D49" s="6">
        <v>12.56549</v>
      </c>
      <c r="E49" s="7">
        <f>12.5654899999999 * $B$37 / 100</f>
        <v>12.565489999999899</v>
      </c>
    </row>
    <row r="50" spans="1:18" x14ac:dyDescent="0.25">
      <c r="A50" s="5">
        <v>0</v>
      </c>
      <c r="B50" s="6">
        <v>101.14927071024179</v>
      </c>
      <c r="C50" s="6">
        <f>101.149270710241 * $B$37 / 100</f>
        <v>101.149270710241</v>
      </c>
      <c r="D50" s="6">
        <v>12.744583333333329</v>
      </c>
      <c r="E50" s="7">
        <f>12.7445833333333 * $B$37 / 100</f>
        <v>12.744583333333299</v>
      </c>
    </row>
    <row r="51" spans="1:18" x14ac:dyDescent="0.25">
      <c r="A51" s="5">
        <v>10</v>
      </c>
      <c r="B51" s="6">
        <v>102.44900262791229</v>
      </c>
      <c r="C51" s="6">
        <f>102.449002627912 * $B$37 / 100</f>
        <v>102.44900262791199</v>
      </c>
      <c r="D51" s="6">
        <v>12.90834666666666</v>
      </c>
      <c r="E51" s="7">
        <f>12.9083466666666 * $B$37 / 100</f>
        <v>12.908346666666597</v>
      </c>
    </row>
    <row r="52" spans="1:18" x14ac:dyDescent="0.25">
      <c r="A52" s="5">
        <v>20</v>
      </c>
      <c r="B52" s="6">
        <v>103.74873454558281</v>
      </c>
      <c r="C52" s="6">
        <f>103.748734545582 * $B$37 / 100</f>
        <v>103.748734545582</v>
      </c>
      <c r="D52" s="6">
        <v>13.07211</v>
      </c>
      <c r="E52" s="7">
        <f>13.0721099999999 * $B$37 / 100</f>
        <v>13.072109999999901</v>
      </c>
    </row>
    <row r="53" spans="1:18" x14ac:dyDescent="0.25">
      <c r="A53" s="5">
        <v>30</v>
      </c>
      <c r="B53" s="6">
        <v>105.04846646325331</v>
      </c>
      <c r="C53" s="6">
        <f>105.048466463253 * $B$37 / 100</f>
        <v>105.04846646325301</v>
      </c>
      <c r="D53" s="6">
        <v>13.23587333333333</v>
      </c>
      <c r="E53" s="7">
        <f>13.2358733333333 * $B$37 / 100</f>
        <v>13.2358733333333</v>
      </c>
    </row>
    <row r="54" spans="1:18" x14ac:dyDescent="0.25">
      <c r="A54" s="5">
        <v>40</v>
      </c>
      <c r="B54" s="6">
        <v>106.3481983809238</v>
      </c>
      <c r="C54" s="6">
        <f>106.348198380923 * $B$37 / 100</f>
        <v>106.34819838092298</v>
      </c>
      <c r="D54" s="6">
        <v>13.39963666666667</v>
      </c>
      <c r="E54" s="7">
        <f>13.3996366666666 * $B$37 / 100</f>
        <v>13.3996366666666</v>
      </c>
    </row>
    <row r="55" spans="1:18" x14ac:dyDescent="0.25">
      <c r="A55" s="5">
        <v>50</v>
      </c>
      <c r="B55" s="6">
        <v>107.6479302985943</v>
      </c>
      <c r="C55" s="6">
        <f>107.647930298594 * $B$37 / 100</f>
        <v>107.64793029859401</v>
      </c>
      <c r="D55" s="6">
        <v>13.5634</v>
      </c>
      <c r="E55" s="7">
        <f>13.5634 * $B$37 / 100</f>
        <v>13.5634</v>
      </c>
    </row>
    <row r="56" spans="1:18" x14ac:dyDescent="0.25">
      <c r="A56" s="5">
        <v>60</v>
      </c>
      <c r="B56" s="6">
        <v>108.9476622162648</v>
      </c>
      <c r="C56" s="6">
        <f>108.947662216264 * $B$37 / 100</f>
        <v>108.94766221626399</v>
      </c>
      <c r="D56" s="6">
        <v>13.72716333333333</v>
      </c>
      <c r="E56" s="7">
        <f>13.7271633333333 * $B$37 / 100</f>
        <v>13.7271633333333</v>
      </c>
    </row>
    <row r="57" spans="1:18" x14ac:dyDescent="0.25">
      <c r="A57" s="5">
        <v>70</v>
      </c>
      <c r="B57" s="6">
        <v>110.2473941339353</v>
      </c>
      <c r="C57" s="6">
        <f>110.247394133935 * $B$37 / 100</f>
        <v>110.24739413393499</v>
      </c>
      <c r="D57" s="6">
        <v>13.890926666666671</v>
      </c>
      <c r="E57" s="7">
        <f>13.8909266666666 * $B$37 / 100</f>
        <v>13.890926666666598</v>
      </c>
    </row>
    <row r="58" spans="1:18" x14ac:dyDescent="0.25">
      <c r="A58" s="8">
        <v>80</v>
      </c>
      <c r="B58" s="9">
        <v>111.5471260516058</v>
      </c>
      <c r="C58" s="9">
        <f>111.547126051605 * $B$37 / 100</f>
        <v>111.54712605160501</v>
      </c>
      <c r="D58" s="9">
        <v>14.054690000000001</v>
      </c>
      <c r="E58" s="10">
        <f>14.0546899999999 * $B$37 / 100</f>
        <v>14.054689999999901</v>
      </c>
    </row>
    <row r="60" spans="1:18" ht="28.9" customHeight="1" x14ac:dyDescent="0.5">
      <c r="A60" s="1" t="s">
        <v>24</v>
      </c>
      <c r="B60" s="1"/>
    </row>
    <row r="61" spans="1:18" x14ac:dyDescent="0.25">
      <c r="A61" s="21" t="s">
        <v>25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26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27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34" ht="28.9" customHeight="1" x14ac:dyDescent="0.5">
      <c r="A65" s="1" t="s">
        <v>28</v>
      </c>
      <c r="B65" s="1"/>
    </row>
    <row r="66" spans="1:34" x14ac:dyDescent="0.25">
      <c r="A66" s="24" t="s">
        <v>29</v>
      </c>
      <c r="B66" s="25" t="s">
        <v>19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6"/>
    </row>
    <row r="67" spans="1:34" x14ac:dyDescent="0.25">
      <c r="A67" s="27" t="s">
        <v>43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8">
        <v>18</v>
      </c>
      <c r="AD67" s="28">
        <v>18.5</v>
      </c>
      <c r="AE67" s="28">
        <v>19</v>
      </c>
      <c r="AF67" s="28">
        <v>19.5</v>
      </c>
      <c r="AG67" s="28">
        <v>20</v>
      </c>
      <c r="AH67" s="29">
        <v>20.5</v>
      </c>
    </row>
    <row r="68" spans="1:34" x14ac:dyDescent="0.25">
      <c r="A68" s="30">
        <v>-80</v>
      </c>
      <c r="B68" s="31">
        <v>5.0222930357862268</v>
      </c>
      <c r="C68" s="31">
        <v>4.5309845643957702</v>
      </c>
      <c r="D68" s="31">
        <v>4.0820863616112879</v>
      </c>
      <c r="E68" s="31">
        <v>3.6738536973245881</v>
      </c>
      <c r="F68" s="31">
        <v>3.304492870698875</v>
      </c>
      <c r="G68" s="31">
        <v>2.9721612101687378</v>
      </c>
      <c r="H68" s="31">
        <v>2.6749670734401501</v>
      </c>
      <c r="I68" s="31">
        <v>2.4109698474904731</v>
      </c>
      <c r="J68" s="31">
        <v>2.1781799485684559</v>
      </c>
      <c r="K68" s="31">
        <v>1.974558822194237</v>
      </c>
      <c r="L68" s="31">
        <v>1.798018943159337</v>
      </c>
      <c r="M68" s="31">
        <v>1.6464238155266651</v>
      </c>
      <c r="N68" s="31">
        <v>1.517587972630521</v>
      </c>
      <c r="O68" s="31">
        <v>1.4092769770765841</v>
      </c>
      <c r="P68" s="31">
        <v>1.319207420741928</v>
      </c>
      <c r="Q68" s="31">
        <v>1.2450469247750131</v>
      </c>
      <c r="R68" s="31">
        <v>1.184414139595676</v>
      </c>
      <c r="S68" s="31">
        <v>1.1348787448951541</v>
      </c>
      <c r="T68" s="31">
        <v>1.0939614496360679</v>
      </c>
      <c r="U68" s="31">
        <v>1.059133992052421</v>
      </c>
      <c r="V68" s="31">
        <v>1.027819139649603</v>
      </c>
      <c r="W68" s="31">
        <v>0.99739068920439611</v>
      </c>
      <c r="X68" s="31">
        <v>0.96517346676496452</v>
      </c>
      <c r="Y68" s="31">
        <v>0.92844332765086679</v>
      </c>
      <c r="Z68" s="31">
        <v>0.8844271564530366</v>
      </c>
      <c r="AA68" s="31">
        <v>0.83030286703380973</v>
      </c>
      <c r="AB68" s="31">
        <v>0.76319940252689322</v>
      </c>
      <c r="AC68" s="31">
        <v>0.68019673533738889</v>
      </c>
      <c r="AD68" s="31">
        <v>0.57832586714178957</v>
      </c>
      <c r="AE68" s="31">
        <v>0.45456882888796479</v>
      </c>
      <c r="AF68" s="31">
        <v>0.30585868079518191</v>
      </c>
      <c r="AG68" s="31">
        <v>0.12907951235408541</v>
      </c>
      <c r="AH68" s="32">
        <v>-7.8933557673282806E-2</v>
      </c>
    </row>
    <row r="69" spans="1:34" x14ac:dyDescent="0.25">
      <c r="A69" s="30">
        <v>-70</v>
      </c>
      <c r="B69" s="31">
        <v>5.1032522814934707</v>
      </c>
      <c r="C69" s="31">
        <v>4.6021358965877157</v>
      </c>
      <c r="D69" s="31">
        <v>4.1443016834062334</v>
      </c>
      <c r="E69" s="31">
        <v>3.7279650707961349</v>
      </c>
      <c r="F69" s="31">
        <v>3.3512925168759189</v>
      </c>
      <c r="G69" s="31">
        <v>3.012401509035469</v>
      </c>
      <c r="H69" s="31">
        <v>2.7093605639360629</v>
      </c>
      <c r="I69" s="31">
        <v>2.4401892275103521</v>
      </c>
      <c r="J69" s="31">
        <v>2.2028580749623878</v>
      </c>
      <c r="K69" s="31">
        <v>1.9952887107676001</v>
      </c>
      <c r="L69" s="31">
        <v>1.8153537686728121</v>
      </c>
      <c r="M69" s="31">
        <v>1.660876911696229</v>
      </c>
      <c r="N69" s="31">
        <v>1.5296328321274471</v>
      </c>
      <c r="O69" s="31">
        <v>1.4193472515274439</v>
      </c>
      <c r="P69" s="31">
        <v>1.3276969207285889</v>
      </c>
      <c r="Q69" s="31">
        <v>1.2523096198346371</v>
      </c>
      <c r="R69" s="31">
        <v>1.1907641582207329</v>
      </c>
      <c r="S69" s="31">
        <v>1.1405903745334001</v>
      </c>
      <c r="T69" s="31">
        <v>1.0992691366905569</v>
      </c>
      <c r="U69" s="31">
        <v>1.0642323418815109</v>
      </c>
      <c r="V69" s="31">
        <v>1.032862916566945</v>
      </c>
      <c r="W69" s="31">
        <v>1.0024948164789369</v>
      </c>
      <c r="X69" s="31">
        <v>0.97041302662095574</v>
      </c>
      <c r="Y69" s="31">
        <v>0.9338535612678468</v>
      </c>
      <c r="Z69" s="31">
        <v>0.89000346396584851</v>
      </c>
      <c r="AA69" s="31">
        <v>0.83600080753258688</v>
      </c>
      <c r="AB69" s="31">
        <v>0.76893469405707193</v>
      </c>
      <c r="AC69" s="31">
        <v>0.68584525489970805</v>
      </c>
      <c r="AD69" s="31">
        <v>0.58372365069227272</v>
      </c>
      <c r="AE69" s="31">
        <v>0.45951207133793842</v>
      </c>
      <c r="AF69" s="31">
        <v>0.31010373601127761</v>
      </c>
      <c r="AG69" s="31">
        <v>0.13234289315822251</v>
      </c>
      <c r="AH69" s="32">
        <v>-7.6975179503891766E-2</v>
      </c>
    </row>
    <row r="70" spans="1:34" x14ac:dyDescent="0.25">
      <c r="A70" s="30">
        <v>-60</v>
      </c>
      <c r="B70" s="31">
        <v>5.1871303458515294</v>
      </c>
      <c r="C70" s="31">
        <v>4.6758957990727552</v>
      </c>
      <c r="D70" s="31">
        <v>4.2088306532304891</v>
      </c>
      <c r="E70" s="31">
        <v>3.7841104961271488</v>
      </c>
      <c r="F70" s="31">
        <v>3.3998619448365242</v>
      </c>
      <c r="G70" s="31">
        <v>3.0541626457038</v>
      </c>
      <c r="H70" s="31">
        <v>2.7450412743455481</v>
      </c>
      <c r="I70" s="31">
        <v>2.4704775356497182</v>
      </c>
      <c r="J70" s="31">
        <v>2.2284021637756588</v>
      </c>
      <c r="K70" s="31">
        <v>2.016696922154098</v>
      </c>
      <c r="L70" s="31">
        <v>1.833194603487156</v>
      </c>
      <c r="M70" s="31">
        <v>1.6756790297483339</v>
      </c>
      <c r="N70" s="31">
        <v>1.5418850521825289</v>
      </c>
      <c r="O70" s="31">
        <v>1.4294985513060121</v>
      </c>
      <c r="P70" s="31">
        <v>1.3361564369064509</v>
      </c>
      <c r="Q70" s="31">
        <v>1.259446648042901</v>
      </c>
      <c r="R70" s="31">
        <v>1.1969081530457959</v>
      </c>
      <c r="S70" s="31">
        <v>1.146030949516966</v>
      </c>
      <c r="T70" s="31">
        <v>1.10425606432962</v>
      </c>
      <c r="U70" s="31">
        <v>1.068975553628368</v>
      </c>
      <c r="V70" s="31">
        <v>1.037532502829186</v>
      </c>
      <c r="W70" s="31">
        <v>1.007221026619453</v>
      </c>
      <c r="X70" s="31">
        <v>0.97528626895792836</v>
      </c>
      <c r="Y70" s="31">
        <v>0.93892440307476255</v>
      </c>
      <c r="Z70" s="31">
        <v>0.89528263147148968</v>
      </c>
      <c r="AA70" s="31">
        <v>0.84145918592102675</v>
      </c>
      <c r="AB70" s="31">
        <v>0.77450332746768846</v>
      </c>
      <c r="AC70" s="31">
        <v>0.69141534642717517</v>
      </c>
      <c r="AD70" s="31">
        <v>0.58914656238654783</v>
      </c>
      <c r="AE70" s="31">
        <v>0.4645993242043096</v>
      </c>
      <c r="AF70" s="31">
        <v>0.31462701001029209</v>
      </c>
      <c r="AG70" s="31">
        <v>0.1360340272057457</v>
      </c>
      <c r="AH70" s="32">
        <v>-7.4424187536692457E-2</v>
      </c>
    </row>
    <row r="71" spans="1:34" x14ac:dyDescent="0.25">
      <c r="A71" s="30">
        <v>-50</v>
      </c>
      <c r="B71" s="31">
        <v>5.2740396835153804</v>
      </c>
      <c r="C71" s="31">
        <v>4.7523752152311616</v>
      </c>
      <c r="D71" s="31">
        <v>4.2757827031896412</v>
      </c>
      <c r="E71" s="31">
        <v>3.842397894148518</v>
      </c>
      <c r="F71" s="31">
        <v>3.450307564136891</v>
      </c>
      <c r="G71" s="31">
        <v>3.0975495184552351</v>
      </c>
      <c r="H71" s="31">
        <v>2.7821125916754199</v>
      </c>
      <c r="I71" s="31">
        <v>2.5019366476406941</v>
      </c>
      <c r="J71" s="31">
        <v>2.2549125794657048</v>
      </c>
      <c r="K71" s="31">
        <v>2.0388823095364761</v>
      </c>
      <c r="L71" s="31">
        <v>1.851638789510422</v>
      </c>
      <c r="M71" s="31">
        <v>1.6909260003163471</v>
      </c>
      <c r="N71" s="31">
        <v>1.5544389521544399</v>
      </c>
      <c r="O71" s="31">
        <v>1.439823684496272</v>
      </c>
      <c r="P71" s="31">
        <v>1.3446772660848101</v>
      </c>
      <c r="Q71" s="31">
        <v>1.2665477949344</v>
      </c>
      <c r="R71" s="31">
        <v>1.202934398330779</v>
      </c>
      <c r="S71" s="31">
        <v>1.1512872328310719</v>
      </c>
      <c r="T71" s="31">
        <v>1.109007484263792</v>
      </c>
      <c r="U71" s="31">
        <v>1.073447367728831</v>
      </c>
      <c r="V71" s="31">
        <v>1.0419101275974749</v>
      </c>
      <c r="W71" s="31">
        <v>1.0116500375123969</v>
      </c>
      <c r="X71" s="31">
        <v>0.97987240038765544</v>
      </c>
      <c r="Y71" s="31">
        <v>0.94373354840869195</v>
      </c>
      <c r="Z71" s="31">
        <v>0.90034084303234208</v>
      </c>
      <c r="AA71" s="31">
        <v>0.84675267498681883</v>
      </c>
      <c r="AB71" s="31">
        <v>0.77997846427174189</v>
      </c>
      <c r="AC71" s="31">
        <v>0.69697866015809051</v>
      </c>
      <c r="AD71" s="31">
        <v>0.5946647411882543</v>
      </c>
      <c r="AE71" s="31">
        <v>0.46989921517599093</v>
      </c>
      <c r="AF71" s="31">
        <v>0.31949561920646119</v>
      </c>
      <c r="AG71" s="31">
        <v>0.14021851963621049</v>
      </c>
      <c r="AH71" s="32">
        <v>-7.1216487906847092E-2</v>
      </c>
    </row>
    <row r="72" spans="1:34" x14ac:dyDescent="0.25">
      <c r="A72" s="30">
        <v>-40</v>
      </c>
      <c r="B72" s="31">
        <v>5.3640879501562226</v>
      </c>
      <c r="C72" s="31">
        <v>4.8316802894594639</v>
      </c>
      <c r="D72" s="31">
        <v>4.3452624664055186</v>
      </c>
      <c r="E72" s="31">
        <v>3.9029303867073928</v>
      </c>
      <c r="F72" s="31">
        <v>3.5027309853494728</v>
      </c>
      <c r="G72" s="31">
        <v>3.1426622265875368</v>
      </c>
      <c r="H72" s="31">
        <v>2.8206731039487529</v>
      </c>
      <c r="I72" s="31">
        <v>2.534663640231666</v>
      </c>
      <c r="J72" s="31">
        <v>2.282484887506218</v>
      </c>
      <c r="K72" s="31">
        <v>2.0619389271137312</v>
      </c>
      <c r="L72" s="31">
        <v>1.870778869666921</v>
      </c>
      <c r="M72" s="31">
        <v>1.7067088550498819</v>
      </c>
      <c r="N72" s="31">
        <v>1.5673840524181051</v>
      </c>
      <c r="O72" s="31">
        <v>1.4504106601984581</v>
      </c>
      <c r="P72" s="31">
        <v>1.3533459060892039</v>
      </c>
      <c r="Q72" s="31">
        <v>1.273698047059987</v>
      </c>
      <c r="R72" s="31">
        <v>1.2089263693518431</v>
      </c>
      <c r="S72" s="31">
        <v>1.156441188477191</v>
      </c>
      <c r="T72" s="31">
        <v>1.1136038492198419</v>
      </c>
      <c r="U72" s="31">
        <v>1.0777267256349889</v>
      </c>
      <c r="V72" s="31">
        <v>1.0460732210492081</v>
      </c>
      <c r="W72" s="31">
        <v>1.0158577680604759</v>
      </c>
      <c r="X72" s="31">
        <v>0.98424582853814602</v>
      </c>
      <c r="Y72" s="31">
        <v>0.94835389362295675</v>
      </c>
      <c r="Z72" s="31">
        <v>0.90524948372703973</v>
      </c>
      <c r="AA72" s="31">
        <v>0.85195114853391196</v>
      </c>
      <c r="AB72" s="31">
        <v>0.78542846699847946</v>
      </c>
      <c r="AC72" s="31">
        <v>0.7026020473470258</v>
      </c>
      <c r="AD72" s="31">
        <v>0.60034352707723626</v>
      </c>
      <c r="AE72" s="31">
        <v>0.47547557295817278</v>
      </c>
      <c r="AF72" s="31">
        <v>0.32477188103027732</v>
      </c>
      <c r="AG72" s="31">
        <v>0.14495717660540741</v>
      </c>
      <c r="AH72" s="32">
        <v>-6.7292785733227944E-2</v>
      </c>
    </row>
    <row r="73" spans="1:34" x14ac:dyDescent="0.25">
      <c r="A73" s="30">
        <v>-30</v>
      </c>
      <c r="B73" s="31">
        <v>5.4573780024615344</v>
      </c>
      <c r="C73" s="31">
        <v>4.9139123671704326</v>
      </c>
      <c r="D73" s="31">
        <v>4.417369777016205</v>
      </c>
      <c r="E73" s="31">
        <v>3.9658062966671559</v>
      </c>
      <c r="F73" s="31">
        <v>3.5572290200629682</v>
      </c>
      <c r="G73" s="31">
        <v>3.1895960704147162</v>
      </c>
      <c r="H73" s="31">
        <v>2.8608166002048638</v>
      </c>
      <c r="I73" s="31">
        <v>2.5687507911872558</v>
      </c>
      <c r="J73" s="31">
        <v>2.311209854387132</v>
      </c>
      <c r="K73" s="31">
        <v>2.0859560301011109</v>
      </c>
      <c r="L73" s="31">
        <v>1.8907025878972039</v>
      </c>
      <c r="M73" s="31">
        <v>1.7231138266148041</v>
      </c>
      <c r="N73" s="31">
        <v>1.5808050743646991</v>
      </c>
      <c r="O73" s="31">
        <v>1.461342688529055</v>
      </c>
      <c r="P73" s="31">
        <v>1.3622440557614279</v>
      </c>
      <c r="Q73" s="31">
        <v>1.2809775919867681</v>
      </c>
      <c r="R73" s="31">
        <v>1.2149627424014009</v>
      </c>
      <c r="S73" s="31">
        <v>1.1615699814730449</v>
      </c>
      <c r="T73" s="31">
        <v>1.1181208129408049</v>
      </c>
      <c r="U73" s="31">
        <v>1.081887769815177</v>
      </c>
      <c r="V73" s="31">
        <v>1.050094414378038</v>
      </c>
      <c r="W73" s="31">
        <v>1.019915338182646</v>
      </c>
      <c r="X73" s="31">
        <v>0.98847616205366984</v>
      </c>
      <c r="Y73" s="31">
        <v>0.9528535360871323</v>
      </c>
      <c r="Z73" s="31">
        <v>0.91007513965046916</v>
      </c>
      <c r="AA73" s="31">
        <v>0.85711968138249239</v>
      </c>
      <c r="AB73" s="31">
        <v>0.79091689919340591</v>
      </c>
      <c r="AC73" s="31">
        <v>0.70834756026479162</v>
      </c>
      <c r="AD73" s="31">
        <v>0.60624346104962989</v>
      </c>
      <c r="AE73" s="31">
        <v>0.48138742727227418</v>
      </c>
      <c r="AF73" s="31">
        <v>0.3305133139284786</v>
      </c>
      <c r="AG73" s="31">
        <v>0.15030600528537971</v>
      </c>
      <c r="AH73" s="32">
        <v>-6.2598585118498903E-2</v>
      </c>
    </row>
    <row r="74" spans="1:34" x14ac:dyDescent="0.25">
      <c r="A74" s="30">
        <v>-20</v>
      </c>
      <c r="B74" s="31">
        <v>5.5540078981350316</v>
      </c>
      <c r="C74" s="31">
        <v>4.9991679947931003</v>
      </c>
      <c r="D74" s="31">
        <v>4.492199670176042</v>
      </c>
      <c r="E74" s="31">
        <v>4.03111914790746</v>
      </c>
      <c r="F74" s="31">
        <v>3.613893680882335</v>
      </c>
      <c r="G74" s="31">
        <v>3.2384415512670368</v>
      </c>
      <c r="H74" s="31">
        <v>2.9026320704993291</v>
      </c>
      <c r="I74" s="31">
        <v>2.6042855792883519</v>
      </c>
      <c r="J74" s="31">
        <v>2.3411734476146422</v>
      </c>
      <c r="K74" s="31">
        <v>2.1110180747301159</v>
      </c>
      <c r="L74" s="31">
        <v>1.9114928891580809</v>
      </c>
      <c r="M74" s="31">
        <v>1.7402223486932329</v>
      </c>
      <c r="N74" s="31">
        <v>1.594781940401649</v>
      </c>
      <c r="O74" s="31">
        <v>1.472698180620797</v>
      </c>
      <c r="P74" s="31">
        <v>1.37144861495953</v>
      </c>
      <c r="Q74" s="31">
        <v>1.288461818298094</v>
      </c>
      <c r="R74" s="31">
        <v>1.22111739478811</v>
      </c>
      <c r="S74" s="31">
        <v>1.166745977852601</v>
      </c>
      <c r="T74" s="31">
        <v>1.1226292301859659</v>
      </c>
      <c r="U74" s="31">
        <v>1.0859998437539931</v>
      </c>
      <c r="V74" s="31">
        <v>1.0540415397938561</v>
      </c>
      <c r="W74" s="31">
        <v>1.0238890688141229</v>
      </c>
      <c r="X74" s="31">
        <v>0.99262821059473971</v>
      </c>
      <c r="Y74" s="31">
        <v>0.95729577418704692</v>
      </c>
      <c r="Z74" s="31">
        <v>0.91487959791376505</v>
      </c>
      <c r="AA74" s="31">
        <v>0.86231854936901098</v>
      </c>
      <c r="AB74" s="31">
        <v>0.79650252541827737</v>
      </c>
      <c r="AC74" s="31">
        <v>0.71427245219844804</v>
      </c>
      <c r="AD74" s="31">
        <v>0.61242028511780022</v>
      </c>
      <c r="AE74" s="31">
        <v>0.48768900885598782</v>
      </c>
      <c r="AF74" s="31">
        <v>0.33677263736406099</v>
      </c>
      <c r="AG74" s="31">
        <v>0.1563162138644448</v>
      </c>
      <c r="AH74" s="32">
        <v>-5.708418914903568E-2</v>
      </c>
    </row>
    <row r="75" spans="1:34" x14ac:dyDescent="0.25">
      <c r="A75" s="30">
        <v>-10</v>
      </c>
      <c r="B75" s="31">
        <v>5.6540708958966777</v>
      </c>
      <c r="C75" s="31">
        <v>5.0875389197727374</v>
      </c>
      <c r="D75" s="31">
        <v>4.5698423820556133</v>
      </c>
      <c r="E75" s="31">
        <v>4.0989576653241988</v>
      </c>
      <c r="F75" s="31">
        <v>3.672812181428776</v>
      </c>
      <c r="G75" s="31">
        <v>3.2892843714910152</v>
      </c>
      <c r="H75" s="31">
        <v>2.9462037059039701</v>
      </c>
      <c r="I75" s="31">
        <v>2.6413506843320849</v>
      </c>
      <c r="J75" s="31">
        <v>2.3724568357111901</v>
      </c>
      <c r="K75" s="31">
        <v>2.137204718248499</v>
      </c>
      <c r="L75" s="31">
        <v>1.933227919422619</v>
      </c>
      <c r="M75" s="31">
        <v>1.7581110559835369</v>
      </c>
      <c r="N75" s="31">
        <v>1.6093897739526359</v>
      </c>
      <c r="O75" s="31">
        <v>1.484550748622675</v>
      </c>
      <c r="P75" s="31">
        <v>1.3810316845578079</v>
      </c>
      <c r="Q75" s="31">
        <v>1.2962213155935749</v>
      </c>
      <c r="R75" s="31">
        <v>1.2274594048368981</v>
      </c>
      <c r="S75" s="31">
        <v>1.1720367446660891</v>
      </c>
      <c r="T75" s="31">
        <v>1.127195156730852</v>
      </c>
      <c r="U75" s="31">
        <v>1.0901274919522741</v>
      </c>
      <c r="V75" s="31">
        <v>1.057977630522823</v>
      </c>
      <c r="W75" s="31">
        <v>1.0278404819063609</v>
      </c>
      <c r="X75" s="31">
        <v>0.99676198483813616</v>
      </c>
      <c r="Y75" s="31">
        <v>0.96173910732478451</v>
      </c>
      <c r="Z75" s="31">
        <v>0.91971984664432094</v>
      </c>
      <c r="AA75" s="31">
        <v>0.86760322934616574</v>
      </c>
      <c r="AB75" s="31">
        <v>0.80223931125109871</v>
      </c>
      <c r="AC75" s="31">
        <v>0.72042917745131596</v>
      </c>
      <c r="AD75" s="31">
        <v>0.6189249423103792</v>
      </c>
      <c r="AE75" s="31">
        <v>0.49442974946324392</v>
      </c>
      <c r="AF75" s="31">
        <v>0.34359777181625539</v>
      </c>
      <c r="AG75" s="31">
        <v>0.16303421154713671</v>
      </c>
      <c r="AH75" s="32">
        <v>-5.0704699894977168E-2</v>
      </c>
    </row>
    <row r="76" spans="1:34" x14ac:dyDescent="0.25">
      <c r="A76" s="30">
        <v>0</v>
      </c>
      <c r="B76" s="31">
        <v>5.75765545548271</v>
      </c>
      <c r="C76" s="31">
        <v>5.1791120905708903</v>
      </c>
      <c r="D76" s="31">
        <v>4.6503833498417668</v>
      </c>
      <c r="E76" s="31">
        <v>4.1694057748295306</v>
      </c>
      <c r="F76" s="31">
        <v>3.7340669363397612</v>
      </c>
      <c r="G76" s="31">
        <v>3.3422054344494252</v>
      </c>
      <c r="H76" s="31">
        <v>2.9916108985068739</v>
      </c>
      <c r="I76" s="31">
        <v>2.6800239871318499</v>
      </c>
      <c r="J76" s="31">
        <v>2.4051363882154759</v>
      </c>
      <c r="K76" s="31">
        <v>2.1645908189202721</v>
      </c>
      <c r="L76" s="31">
        <v>1.9559810256801311</v>
      </c>
      <c r="M76" s="31">
        <v>1.7768517842003499</v>
      </c>
      <c r="N76" s="31">
        <v>1.624698899457597</v>
      </c>
      <c r="O76" s="31">
        <v>1.4969692056999351</v>
      </c>
      <c r="P76" s="31">
        <v>1.391060566446817</v>
      </c>
      <c r="Q76" s="31">
        <v>1.304321874489073</v>
      </c>
      <c r="R76" s="31">
        <v>1.2340530518889281</v>
      </c>
      <c r="S76" s="31">
        <v>1.1775050499799931</v>
      </c>
      <c r="T76" s="31">
        <v>1.1318798493672619</v>
      </c>
      <c r="U76" s="31">
        <v>1.094330459927126</v>
      </c>
      <c r="V76" s="31">
        <v>1.0619609208073471</v>
      </c>
      <c r="W76" s="31">
        <v>1.031826300427082</v>
      </c>
      <c r="X76" s="31">
        <v>1.000932696476885</v>
      </c>
      <c r="Y76" s="31">
        <v>0.96623723591867938</v>
      </c>
      <c r="Z76" s="31">
        <v>0.92464807498578383</v>
      </c>
      <c r="AA76" s="31">
        <v>0.87302439918290464</v>
      </c>
      <c r="AB76" s="31">
        <v>0.80817642328614114</v>
      </c>
      <c r="AC76" s="31">
        <v>0.72686539134296635</v>
      </c>
      <c r="AD76" s="31">
        <v>0.62580357667224584</v>
      </c>
      <c r="AE76" s="31">
        <v>0.50165428186423189</v>
      </c>
      <c r="AF76" s="31">
        <v>0.35103183878056848</v>
      </c>
      <c r="AG76" s="31">
        <v>0.17050160855428759</v>
      </c>
      <c r="AH76" s="32">
        <v>-4.3420018410207817E-2</v>
      </c>
    </row>
    <row r="77" spans="1:34" x14ac:dyDescent="0.25">
      <c r="A77" s="30">
        <v>10</v>
      </c>
      <c r="B77" s="31">
        <v>5.864845237645592</v>
      </c>
      <c r="C77" s="31">
        <v>5.2739696566653347</v>
      </c>
      <c r="D77" s="31">
        <v>4.7339032117375934</v>
      </c>
      <c r="E77" s="31">
        <v>4.2425426033518558</v>
      </c>
      <c r="F77" s="31">
        <v>3.7977355612689969</v>
      </c>
      <c r="G77" s="31">
        <v>3.3972808445212852</v>
      </c>
      <c r="H77" s="31">
        <v>3.0389282414123682</v>
      </c>
      <c r="I77" s="31">
        <v>2.7203785695172789</v>
      </c>
      <c r="J77" s="31">
        <v>2.4392836756824492</v>
      </c>
      <c r="K77" s="31">
        <v>2.193246436025686</v>
      </c>
      <c r="L77" s="31">
        <v>1.9798207559361869</v>
      </c>
      <c r="M77" s="31">
        <v>1.7965115700745391</v>
      </c>
      <c r="N77" s="31">
        <v>1.640774842372716</v>
      </c>
      <c r="O77" s="31">
        <v>1.510017566034072</v>
      </c>
      <c r="P77" s="31">
        <v>1.401597763533357</v>
      </c>
      <c r="Q77" s="31">
        <v>1.312824486616704</v>
      </c>
      <c r="R77" s="31">
        <v>1.2409578163016299</v>
      </c>
      <c r="S77" s="31">
        <v>1.1832088628770401</v>
      </c>
      <c r="T77" s="31">
        <v>1.1367397659032339</v>
      </c>
      <c r="U77" s="31">
        <v>1.098663694211895</v>
      </c>
      <c r="V77" s="31">
        <v>1.0660448459060829</v>
      </c>
      <c r="W77" s="31">
        <v>1.035898448360258</v>
      </c>
      <c r="X77" s="31">
        <v>1.005190758220261</v>
      </c>
      <c r="Y77" s="31">
        <v>0.97083906140331588</v>
      </c>
      <c r="Z77" s="31">
        <v>0.9297116730980457</v>
      </c>
      <c r="AA77" s="31">
        <v>0.87862793776445114</v>
      </c>
      <c r="AB77" s="31">
        <v>0.81435822913391132</v>
      </c>
      <c r="AC77" s="31">
        <v>0.73362395020922055</v>
      </c>
      <c r="AD77" s="31">
        <v>0.63309753326453089</v>
      </c>
      <c r="AE77" s="31">
        <v>0.50940243984540079</v>
      </c>
      <c r="AF77" s="31">
        <v>0.35911316076876187</v>
      </c>
      <c r="AG77" s="31">
        <v>0.17875521612293899</v>
      </c>
      <c r="AH77" s="32">
        <v>-3.5194844732350468E-2</v>
      </c>
    </row>
    <row r="78" spans="1:34" x14ac:dyDescent="0.25">
      <c r="A78" s="30">
        <v>20</v>
      </c>
      <c r="B78" s="31">
        <v>5.9757191041540576</v>
      </c>
      <c r="C78" s="31">
        <v>5.3721889685501134</v>
      </c>
      <c r="D78" s="31">
        <v>4.8204778069624368</v>
      </c>
      <c r="E78" s="31">
        <v>4.3184424788358244</v>
      </c>
      <c r="F78" s="31">
        <v>3.8638908728864481</v>
      </c>
      <c r="G78" s="31">
        <v>3.4545819071018662</v>
      </c>
      <c r="H78" s="31">
        <v>3.0882255287410278</v>
      </c>
      <c r="I78" s="31">
        <v>2.7624827143342681</v>
      </c>
      <c r="J78" s="31">
        <v>2.474965469683307</v>
      </c>
      <c r="K78" s="31">
        <v>2.2232368298612522</v>
      </c>
      <c r="L78" s="31">
        <v>2.004810859212601</v>
      </c>
      <c r="M78" s="31">
        <v>1.8171526513532359</v>
      </c>
      <c r="N78" s="31">
        <v>1.657678329170426</v>
      </c>
      <c r="O78" s="31">
        <v>1.5237550448228261</v>
      </c>
      <c r="P78" s="31">
        <v>1.4127009797404819</v>
      </c>
      <c r="Q78" s="31">
        <v>1.321785344624822</v>
      </c>
      <c r="R78" s="31">
        <v>1.2482283794486639</v>
      </c>
      <c r="S78" s="31">
        <v>1.189201353456212</v>
      </c>
      <c r="T78" s="31">
        <v>1.1418265651630579</v>
      </c>
      <c r="U78" s="31">
        <v>1.103177342356181</v>
      </c>
      <c r="V78" s="31">
        <v>1.070278042093942</v>
      </c>
      <c r="W78" s="31">
        <v>1.040104050706097</v>
      </c>
      <c r="X78" s="31">
        <v>1.009581783793783</v>
      </c>
      <c r="Y78" s="31">
        <v>0.97558868622952966</v>
      </c>
      <c r="Z78" s="31">
        <v>0.93495323215724613</v>
      </c>
      <c r="AA78" s="31">
        <v>0.88445492499223377</v>
      </c>
      <c r="AB78" s="31">
        <v>0.82082429742118035</v>
      </c>
      <c r="AC78" s="31">
        <v>0.74074291140215198</v>
      </c>
      <c r="AD78" s="31">
        <v>0.64084335816462035</v>
      </c>
      <c r="AE78" s="31">
        <v>0.51770925820942726</v>
      </c>
      <c r="AF78" s="31">
        <v>0.36787526130882242</v>
      </c>
      <c r="AG78" s="31">
        <v>0.18782704650640089</v>
      </c>
      <c r="AH78" s="32">
        <v>-2.5998677882808959E-2</v>
      </c>
    </row>
    <row r="79" spans="1:34" x14ac:dyDescent="0.25">
      <c r="A79" s="30">
        <v>30</v>
      </c>
      <c r="B79" s="31">
        <v>6.0903511177930874</v>
      </c>
      <c r="C79" s="31">
        <v>5.4738425777355069</v>
      </c>
      <c r="D79" s="31">
        <v>4.9101781757519021</v>
      </c>
      <c r="E79" s="31">
        <v>4.3971749302423513</v>
      </c>
      <c r="F79" s="31">
        <v>3.9326008888783308</v>
      </c>
      <c r="G79" s="31">
        <v>3.5141751286026981</v>
      </c>
      <c r="H79" s="31">
        <v>3.1395677556296979</v>
      </c>
      <c r="I79" s="31">
        <v>2.8063999054449589</v>
      </c>
      <c r="J79" s="31">
        <v>2.512243742805504</v>
      </c>
      <c r="K79" s="31">
        <v>2.2546224617397361</v>
      </c>
      <c r="L79" s="31">
        <v>2.031010285547449</v>
      </c>
      <c r="M79" s="31">
        <v>1.838832466799821</v>
      </c>
      <c r="N79" s="31">
        <v>1.675465287339422</v>
      </c>
      <c r="O79" s="31">
        <v>1.5382360582802019</v>
      </c>
      <c r="P79" s="31">
        <v>1.4244231200075059</v>
      </c>
      <c r="Q79" s="31">
        <v>1.331255842178056</v>
      </c>
      <c r="R79" s="31">
        <v>1.255914623719969</v>
      </c>
      <c r="S79" s="31">
        <v>1.1955308928327459</v>
      </c>
      <c r="T79" s="31">
        <v>1.1471871069872741</v>
      </c>
      <c r="U79" s="31">
        <v>1.107916752925834</v>
      </c>
      <c r="V79" s="31">
        <v>1.074704346662088</v>
      </c>
      <c r="W79" s="31">
        <v>1.0444854334810789</v>
      </c>
      <c r="X79" s="31">
        <v>1.0141465879392479</v>
      </c>
      <c r="Y79" s="31">
        <v>0.98052541386441283</v>
      </c>
      <c r="Z79" s="31">
        <v>0.94041054435579041</v>
      </c>
      <c r="AA79" s="31">
        <v>0.89054164178397976</v>
      </c>
      <c r="AB79" s="31">
        <v>0.82760939779095366</v>
      </c>
      <c r="AC79" s="31">
        <v>0.74825553329009087</v>
      </c>
      <c r="AD79" s="31">
        <v>0.64907279846615629</v>
      </c>
      <c r="AE79" s="31">
        <v>0.52660497277527663</v>
      </c>
      <c r="AF79" s="31">
        <v>0.37734686494500141</v>
      </c>
      <c r="AG79" s="31">
        <v>0.1977443129742458</v>
      </c>
      <c r="AH79" s="32">
        <v>-1.5805815866686501E-2</v>
      </c>
    </row>
    <row r="80" spans="1:34" x14ac:dyDescent="0.25">
      <c r="A80" s="30">
        <v>40</v>
      </c>
      <c r="B80" s="31">
        <v>6.2088105423639171</v>
      </c>
      <c r="C80" s="31">
        <v>5.5789982367480704</v>
      </c>
      <c r="D80" s="31">
        <v>5.003070559357834</v>
      </c>
      <c r="E80" s="31">
        <v>4.4788046875485943</v>
      </c>
      <c r="F80" s="31">
        <v>4.0039288279471199</v>
      </c>
      <c r="G80" s="31">
        <v>3.5761222164515609</v>
      </c>
      <c r="H80" s="31">
        <v>3.193015118231461</v>
      </c>
      <c r="I80" s="31">
        <v>2.8521888277277521</v>
      </c>
      <c r="J80" s="31">
        <v>2.5511756686527498</v>
      </c>
      <c r="K80" s="31">
        <v>2.2874589939901528</v>
      </c>
      <c r="L80" s="31">
        <v>2.0584731859950551</v>
      </c>
      <c r="M80" s="31">
        <v>1.8616036561939331</v>
      </c>
      <c r="N80" s="31">
        <v>1.694186845384648</v>
      </c>
      <c r="O80" s="31">
        <v>1.5535102236364531</v>
      </c>
      <c r="P80" s="31">
        <v>1.436812290289988</v>
      </c>
      <c r="Q80" s="31">
        <v>1.341282573957272</v>
      </c>
      <c r="R80" s="31">
        <v>1.26406163252172</v>
      </c>
      <c r="S80" s="31">
        <v>1.202241053138132</v>
      </c>
      <c r="T80" s="31">
        <v>1.152863452232693</v>
      </c>
      <c r="U80" s="31">
        <v>1.112922475502975</v>
      </c>
      <c r="V80" s="31">
        <v>1.0793627979179401</v>
      </c>
      <c r="W80" s="31">
        <v>1.0490801237179279</v>
      </c>
      <c r="X80" s="31">
        <v>1.018921186414683</v>
      </c>
      <c r="Y80" s="31">
        <v>0.9856837487913146</v>
      </c>
      <c r="Z80" s="31">
        <v>0.94611660290233546</v>
      </c>
      <c r="AA80" s="31">
        <v>0.89691957007364032</v>
      </c>
      <c r="AB80" s="31">
        <v>0.83474350090251093</v>
      </c>
      <c r="AC80" s="31">
        <v>0.75619027525761862</v>
      </c>
      <c r="AD80" s="31">
        <v>0.65781280227900951</v>
      </c>
      <c r="AE80" s="31">
        <v>0.53611502037813352</v>
      </c>
      <c r="AF80" s="31">
        <v>0.38755189723781769</v>
      </c>
      <c r="AG80" s="31">
        <v>0.20852942981228581</v>
      </c>
      <c r="AH80" s="32">
        <v>-4.5953556728672868E-3</v>
      </c>
    </row>
    <row r="81" spans="1:34" x14ac:dyDescent="0.25">
      <c r="A81" s="30">
        <v>50</v>
      </c>
      <c r="B81" s="31">
        <v>6.3311618426840299</v>
      </c>
      <c r="C81" s="31">
        <v>5.6877188991305943</v>
      </c>
      <c r="D81" s="31">
        <v>5.0992164000483449</v>
      </c>
      <c r="E81" s="31">
        <v>4.5633916817479721</v>
      </c>
      <c r="F81" s="31">
        <v>4.0779331098115348</v>
      </c>
      <c r="G81" s="31">
        <v>3.6404800790924852</v>
      </c>
      <c r="H81" s="31">
        <v>3.2486230137156671</v>
      </c>
      <c r="I81" s="31">
        <v>2.8999033670773011</v>
      </c>
      <c r="J81" s="31">
        <v>2.591813621845001</v>
      </c>
      <c r="K81" s="31">
        <v>2.3217972899577721</v>
      </c>
      <c r="L81" s="31">
        <v>2.0872489126259981</v>
      </c>
      <c r="M81" s="31">
        <v>1.885514060331452</v>
      </c>
      <c r="N81" s="31">
        <v>1.7138893328272979</v>
      </c>
      <c r="O81" s="31">
        <v>1.569622359138082</v>
      </c>
      <c r="P81" s="31">
        <v>1.44991179755974</v>
      </c>
      <c r="Q81" s="31">
        <v>1.3519073356595941</v>
      </c>
      <c r="R81" s="31">
        <v>1.2727096902763519</v>
      </c>
      <c r="S81" s="31">
        <v>1.2093706075201101</v>
      </c>
      <c r="T81" s="31">
        <v>1.1588928627723529</v>
      </c>
      <c r="U81" s="31">
        <v>1.118230260685952</v>
      </c>
      <c r="V81" s="31">
        <v>1.0842876351851609</v>
      </c>
      <c r="W81" s="31">
        <v>1.053920849465626</v>
      </c>
      <c r="X81" s="31">
        <v>1.023936795994373</v>
      </c>
      <c r="Y81" s="31">
        <v>0.99109339650982287</v>
      </c>
      <c r="Z81" s="31">
        <v>0.95209960202178012</v>
      </c>
      <c r="AA81" s="31">
        <v>0.90361539281144243</v>
      </c>
      <c r="AB81" s="31">
        <v>0.84225177843137444</v>
      </c>
      <c r="AC81" s="31">
        <v>0.76457079770556047</v>
      </c>
      <c r="AD81" s="31">
        <v>0.66708551872933741</v>
      </c>
      <c r="AE81" s="31">
        <v>0.54626003886945917</v>
      </c>
      <c r="AF81" s="31">
        <v>0.39850948476403508</v>
      </c>
      <c r="AG81" s="31">
        <v>0.2202000123225912</v>
      </c>
      <c r="AH81" s="32">
        <v>7.6488067260225287E-3</v>
      </c>
    </row>
    <row r="82" spans="1:34" x14ac:dyDescent="0.25">
      <c r="A82" s="30">
        <v>60</v>
      </c>
      <c r="B82" s="31">
        <v>6.4574646845871602</v>
      </c>
      <c r="C82" s="31">
        <v>5.800062719442117</v>
      </c>
      <c r="D82" s="31">
        <v>5.1986723411077849</v>
      </c>
      <c r="E82" s="31">
        <v>4.6509910448501408</v>
      </c>
      <c r="F82" s="31">
        <v>4.1546673552065476</v>
      </c>
      <c r="G82" s="31">
        <v>3.7073008259857541</v>
      </c>
      <c r="H82" s="31">
        <v>3.3064420402678958</v>
      </c>
      <c r="I82" s="31">
        <v>2.9495926104044972</v>
      </c>
      <c r="J82" s="31">
        <v>2.634205178018469</v>
      </c>
      <c r="K82" s="31">
        <v>2.3576834140041081</v>
      </c>
      <c r="L82" s="31">
        <v>2.1173820185271008</v>
      </c>
      <c r="M82" s="31">
        <v>1.910606721024517</v>
      </c>
      <c r="N82" s="31">
        <v>1.734614280204817</v>
      </c>
      <c r="O82" s="31">
        <v>1.5866124840478419</v>
      </c>
      <c r="P82" s="31">
        <v>1.463760149804828</v>
      </c>
      <c r="Q82" s="31">
        <v>1.363167123998396</v>
      </c>
      <c r="R82" s="31">
        <v>1.281894282422545</v>
      </c>
      <c r="S82" s="31">
        <v>1.216953530142675</v>
      </c>
      <c r="T82" s="31">
        <v>1.165307801495566</v>
      </c>
      <c r="U82" s="31">
        <v>1.1238710600893791</v>
      </c>
      <c r="V82" s="31">
        <v>1.0895082988036731</v>
      </c>
      <c r="W82" s="31">
        <v>1.0590355397893949</v>
      </c>
      <c r="X82" s="31">
        <v>1.0292198344688579</v>
      </c>
      <c r="Y82" s="31">
        <v>0.99677926353579049</v>
      </c>
      <c r="Z82" s="31">
        <v>0.95838293695528665</v>
      </c>
      <c r="AA82" s="31">
        <v>0.91065099396384475</v>
      </c>
      <c r="AB82" s="31">
        <v>0.85015460306932655</v>
      </c>
      <c r="AC82" s="31">
        <v>0.77341596205100671</v>
      </c>
      <c r="AD82" s="31">
        <v>0.67690829795953056</v>
      </c>
      <c r="AE82" s="31">
        <v>0.55705586711693678</v>
      </c>
      <c r="AF82" s="31">
        <v>0.41023395511664612</v>
      </c>
      <c r="AG82" s="31">
        <v>0.23276887682347261</v>
      </c>
      <c r="AH82" s="32">
        <v>2.0937976373625489E-2</v>
      </c>
    </row>
    <row r="83" spans="1:34" x14ac:dyDescent="0.25">
      <c r="A83" s="30">
        <v>70</v>
      </c>
      <c r="B83" s="31">
        <v>6.5877739349233027</v>
      </c>
      <c r="C83" s="31">
        <v>5.9160830532579514</v>
      </c>
      <c r="D83" s="31">
        <v>5.3014902268367639</v>
      </c>
      <c r="E83" s="31">
        <v>4.7416531098810228</v>
      </c>
      <c r="F83" s="31">
        <v>4.234180385883386</v>
      </c>
      <c r="G83" s="31">
        <v>3.7766317676079</v>
      </c>
      <c r="H83" s="31">
        <v>3.3665179970899972</v>
      </c>
      <c r="I83" s="31">
        <v>3.0013008456365</v>
      </c>
      <c r="J83" s="31">
        <v>2.6783931138256181</v>
      </c>
      <c r="K83" s="31">
        <v>2.39515863150694</v>
      </c>
      <c r="L83" s="31">
        <v>2.148912257801451</v>
      </c>
      <c r="M83" s="31">
        <v>1.9369198811015229</v>
      </c>
      <c r="N83" s="31">
        <v>1.756398419070907</v>
      </c>
      <c r="O83" s="31">
        <v>1.6045158186447479</v>
      </c>
      <c r="P83" s="31">
        <v>1.478391056029575</v>
      </c>
      <c r="Q83" s="31">
        <v>1.3750941367033009</v>
      </c>
      <c r="R83" s="31">
        <v>1.2916460954152369</v>
      </c>
      <c r="S83" s="31">
        <v>1.2250189961860689</v>
      </c>
      <c r="T83" s="31">
        <v>1.1721359323078711</v>
      </c>
      <c r="U83" s="31">
        <v>1.129871026344121</v>
      </c>
      <c r="V83" s="31">
        <v>1.0950494301296509</v>
      </c>
      <c r="W83" s="31">
        <v>1.064447324770714</v>
      </c>
      <c r="X83" s="31">
        <v>1.0347919206449321</v>
      </c>
      <c r="Y83" s="31">
        <v>1.0027614574013139</v>
      </c>
      <c r="Z83" s="31">
        <v>0.96498520396025811</v>
      </c>
      <c r="AA83" s="31">
        <v>0.91804345851356361</v>
      </c>
      <c r="AB83" s="31">
        <v>0.85846754852438312</v>
      </c>
      <c r="AC83" s="31">
        <v>0.78273983072728792</v>
      </c>
      <c r="AD83" s="31">
        <v>0.68729369112823446</v>
      </c>
      <c r="AE83" s="31">
        <v>0.56851354500453877</v>
      </c>
      <c r="AF83" s="31">
        <v>0.42273483690493407</v>
      </c>
      <c r="AG83" s="31">
        <v>0.2462440406495344</v>
      </c>
      <c r="AH83" s="32">
        <v>3.5278659329810218E-2</v>
      </c>
    </row>
    <row r="84" spans="1:34" x14ac:dyDescent="0.25">
      <c r="A84" s="33">
        <v>80</v>
      </c>
      <c r="B84" s="34">
        <v>6.7221396615587059</v>
      </c>
      <c r="C84" s="34">
        <v>6.0358284571696403</v>
      </c>
      <c r="D84" s="34">
        <v>5.407717102552148</v>
      </c>
      <c r="E84" s="34">
        <v>4.8354234108827931</v>
      </c>
      <c r="F84" s="34">
        <v>4.3165162246095363</v>
      </c>
      <c r="G84" s="34">
        <v>3.8485154154517178</v>
      </c>
      <c r="H84" s="34">
        <v>3.428891884400076</v>
      </c>
      <c r="I84" s="34">
        <v>3.0550675617167209</v>
      </c>
      <c r="J84" s="34">
        <v>2.724415406935162</v>
      </c>
      <c r="K84" s="34">
        <v>2.4342594088602909</v>
      </c>
      <c r="L84" s="34">
        <v>2.1818745855683832</v>
      </c>
      <c r="M84" s="34">
        <v>1.9644869844071109</v>
      </c>
      <c r="N84" s="34">
        <v>1.7792736819955239</v>
      </c>
      <c r="O84" s="34">
        <v>1.6233627842240601</v>
      </c>
      <c r="P84" s="34">
        <v>1.4938334262545481</v>
      </c>
      <c r="Q84" s="34">
        <v>1.3877157725202021</v>
      </c>
      <c r="R84" s="34">
        <v>1.301991016725623</v>
      </c>
      <c r="S84" s="34">
        <v>1.2335913818467941</v>
      </c>
      <c r="T84" s="34">
        <v>1.1794001201310971</v>
      </c>
      <c r="U84" s="34">
        <v>1.136251513097295</v>
      </c>
      <c r="V84" s="34">
        <v>1.1009308715355239</v>
      </c>
      <c r="W84" s="34">
        <v>1.070174535507336</v>
      </c>
      <c r="X84" s="34">
        <v>1.0406698743456411</v>
      </c>
      <c r="Y84" s="34">
        <v>1.009055286654756</v>
      </c>
      <c r="Z84" s="34">
        <v>0.97192020031037496</v>
      </c>
      <c r="AA84" s="34">
        <v>0.92580507245957677</v>
      </c>
      <c r="AB84" s="34">
        <v>0.86720138952083581</v>
      </c>
      <c r="AC84" s="34">
        <v>0.79255166718401526</v>
      </c>
      <c r="AD84" s="34">
        <v>0.69824945041035535</v>
      </c>
      <c r="AE84" s="34">
        <v>0.58063931343247444</v>
      </c>
      <c r="AF84" s="34">
        <v>0.43601685975442189</v>
      </c>
      <c r="AG84" s="34">
        <v>0.26062872215157112</v>
      </c>
      <c r="AH84" s="35">
        <v>5.0672562670731842E-2</v>
      </c>
    </row>
    <row r="87" spans="1:34" ht="28.9" customHeight="1" x14ac:dyDescent="0.5">
      <c r="A87" s="1" t="s">
        <v>31</v>
      </c>
    </row>
    <row r="88" spans="1:34" ht="32.1" customHeight="1" x14ac:dyDescent="0.25"/>
    <row r="89" spans="1:34" x14ac:dyDescent="0.25">
      <c r="A89" s="2"/>
      <c r="B89" s="3"/>
      <c r="C89" s="3"/>
      <c r="D89" s="4"/>
    </row>
    <row r="90" spans="1:34" x14ac:dyDescent="0.25">
      <c r="A90" s="5" t="s">
        <v>32</v>
      </c>
      <c r="B90" s="6">
        <v>4</v>
      </c>
      <c r="C90" s="6" t="s">
        <v>12</v>
      </c>
      <c r="D90" s="7"/>
    </row>
    <row r="91" spans="1:34" x14ac:dyDescent="0.25">
      <c r="A91" s="8"/>
      <c r="B91" s="9"/>
      <c r="C91" s="9"/>
      <c r="D91" s="10"/>
    </row>
    <row r="94" spans="1:34" ht="48" customHeight="1" x14ac:dyDescent="0.25">
      <c r="A94" s="21" t="s">
        <v>33</v>
      </c>
      <c r="B94" s="23" t="s">
        <v>34</v>
      </c>
    </row>
    <row r="95" spans="1:34" x14ac:dyDescent="0.25">
      <c r="A95" s="5">
        <v>0</v>
      </c>
      <c r="B95" s="32">
        <v>0.14999999999999991</v>
      </c>
    </row>
    <row r="96" spans="1:34" x14ac:dyDescent="0.25">
      <c r="A96" s="5">
        <v>0.125</v>
      </c>
      <c r="B96" s="32">
        <v>0.14689062500000041</v>
      </c>
    </row>
    <row r="97" spans="1:2" x14ac:dyDescent="0.25">
      <c r="A97" s="5">
        <v>0.25</v>
      </c>
      <c r="B97" s="32">
        <v>6.7520833333333474E-2</v>
      </c>
    </row>
    <row r="98" spans="1:2" x14ac:dyDescent="0.25">
      <c r="A98" s="5">
        <v>0.375</v>
      </c>
      <c r="B98" s="32">
        <v>-3.1742647058823459E-2</v>
      </c>
    </row>
    <row r="99" spans="1:2" x14ac:dyDescent="0.25">
      <c r="A99" s="5">
        <v>0.5</v>
      </c>
      <c r="B99" s="32">
        <v>-1.3249999999999981E-2</v>
      </c>
    </row>
    <row r="100" spans="1:2" x14ac:dyDescent="0.25">
      <c r="A100" s="5">
        <v>0.625</v>
      </c>
      <c r="B100" s="32">
        <v>8.9034653465347446E-3</v>
      </c>
    </row>
    <row r="101" spans="1:2" x14ac:dyDescent="0.25">
      <c r="A101" s="5">
        <v>0.75</v>
      </c>
      <c r="B101" s="32">
        <v>-7.6445544554453182E-3</v>
      </c>
    </row>
    <row r="102" spans="1:2" x14ac:dyDescent="0.25">
      <c r="A102" s="5">
        <v>0.875</v>
      </c>
      <c r="B102" s="32">
        <v>-2.4192574257425711E-2</v>
      </c>
    </row>
    <row r="103" spans="1:2" x14ac:dyDescent="0.25">
      <c r="A103" s="5">
        <v>1</v>
      </c>
      <c r="B103" s="32">
        <v>-4.0740594059405888E-2</v>
      </c>
    </row>
    <row r="104" spans="1:2" x14ac:dyDescent="0.25">
      <c r="A104" s="5">
        <v>1.125</v>
      </c>
      <c r="B104" s="32">
        <v>-4.164601769911503E-2</v>
      </c>
    </row>
    <row r="105" spans="1:2" x14ac:dyDescent="0.25">
      <c r="A105" s="5">
        <v>1.25</v>
      </c>
      <c r="B105" s="32">
        <v>-3.4327586206896347E-2</v>
      </c>
    </row>
    <row r="106" spans="1:2" x14ac:dyDescent="0.25">
      <c r="A106" s="5">
        <v>1.375</v>
      </c>
      <c r="B106" s="32">
        <v>-2.9974137931034431E-2</v>
      </c>
    </row>
    <row r="107" spans="1:2" x14ac:dyDescent="0.25">
      <c r="A107" s="5">
        <v>1.5</v>
      </c>
      <c r="B107" s="32">
        <v>-2.562068965517228E-2</v>
      </c>
    </row>
    <row r="108" spans="1:2" x14ac:dyDescent="0.25">
      <c r="A108" s="5">
        <v>1.625</v>
      </c>
      <c r="B108" s="32">
        <v>-2.305932203389827E-2</v>
      </c>
    </row>
    <row r="109" spans="1:2" x14ac:dyDescent="0.25">
      <c r="A109" s="5">
        <v>1.75</v>
      </c>
      <c r="B109" s="32">
        <v>-2.089830508474555E-2</v>
      </c>
    </row>
    <row r="110" spans="1:2" x14ac:dyDescent="0.25">
      <c r="A110" s="5">
        <v>1.875</v>
      </c>
      <c r="B110" s="32">
        <v>-1.8737288135593281E-2</v>
      </c>
    </row>
    <row r="111" spans="1:2" x14ac:dyDescent="0.25">
      <c r="A111" s="5">
        <v>2</v>
      </c>
      <c r="B111" s="32">
        <v>-1.657627118644078E-2</v>
      </c>
    </row>
    <row r="112" spans="1:2" x14ac:dyDescent="0.25">
      <c r="A112" s="5">
        <v>2.125</v>
      </c>
      <c r="B112" s="32">
        <v>-1.5173400673400559E-2</v>
      </c>
    </row>
    <row r="113" spans="1:2" x14ac:dyDescent="0.25">
      <c r="A113" s="5">
        <v>2.25</v>
      </c>
      <c r="B113" s="32">
        <v>-1.386868686868703E-2</v>
      </c>
    </row>
    <row r="114" spans="1:2" x14ac:dyDescent="0.25">
      <c r="A114" s="5">
        <v>2.375</v>
      </c>
      <c r="B114" s="32">
        <v>-1.256397306397283E-2</v>
      </c>
    </row>
    <row r="115" spans="1:2" x14ac:dyDescent="0.25">
      <c r="A115" s="5">
        <v>2.5</v>
      </c>
      <c r="B115" s="32">
        <v>-1.1259259259259521E-2</v>
      </c>
    </row>
    <row r="116" spans="1:2" x14ac:dyDescent="0.25">
      <c r="A116" s="5">
        <v>2.625</v>
      </c>
      <c r="B116" s="32">
        <v>-9.9545454545453271E-3</v>
      </c>
    </row>
    <row r="117" spans="1:2" x14ac:dyDescent="0.25">
      <c r="A117" s="5">
        <v>2.75</v>
      </c>
      <c r="B117" s="32">
        <v>-8.6498316498315742E-3</v>
      </c>
    </row>
    <row r="118" spans="1:2" x14ac:dyDescent="0.25">
      <c r="A118" s="5">
        <v>2.875</v>
      </c>
      <c r="B118" s="32">
        <v>-7.3451178451175991E-3</v>
      </c>
    </row>
    <row r="119" spans="1:2" x14ac:dyDescent="0.25">
      <c r="A119" s="5">
        <v>3</v>
      </c>
      <c r="B119" s="32">
        <v>-6.0404040404036241E-3</v>
      </c>
    </row>
    <row r="120" spans="1:2" x14ac:dyDescent="0.25">
      <c r="A120" s="5">
        <v>3.125</v>
      </c>
      <c r="B120" s="32">
        <v>-4.3226351351350889E-3</v>
      </c>
    </row>
    <row r="121" spans="1:2" x14ac:dyDescent="0.25">
      <c r="A121" s="5">
        <v>3.25</v>
      </c>
      <c r="B121" s="32">
        <v>-2.5912162162156078E-3</v>
      </c>
    </row>
    <row r="122" spans="1:2" x14ac:dyDescent="0.25">
      <c r="A122" s="5">
        <v>3.375</v>
      </c>
      <c r="B122" s="32">
        <v>-8.5979729729701582E-4</v>
      </c>
    </row>
    <row r="123" spans="1:2" x14ac:dyDescent="0.25">
      <c r="A123" s="5">
        <v>3.5</v>
      </c>
      <c r="B123" s="32">
        <v>8.7162162162157664E-4</v>
      </c>
    </row>
    <row r="124" spans="1:2" x14ac:dyDescent="0.25">
      <c r="A124" s="5">
        <v>3.625</v>
      </c>
      <c r="B124" s="32">
        <v>2.6030405405406132E-3</v>
      </c>
    </row>
    <row r="125" spans="1:2" x14ac:dyDescent="0.25">
      <c r="A125" s="5">
        <v>3.75</v>
      </c>
      <c r="B125" s="32">
        <v>4.3344594594596497E-3</v>
      </c>
    </row>
    <row r="126" spans="1:2" x14ac:dyDescent="0.25">
      <c r="A126" s="5">
        <v>3.875</v>
      </c>
      <c r="B126" s="32">
        <v>6.0658783783786863E-3</v>
      </c>
    </row>
    <row r="127" spans="1:2" x14ac:dyDescent="0.25">
      <c r="A127" s="8">
        <v>4</v>
      </c>
      <c r="B127" s="35">
        <v>7.9656357388315779E-3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P01, 0411, P59</vt:lpstr>
      <vt:lpstr>E40</vt:lpstr>
      <vt:lpstr>P04</vt:lpstr>
      <vt:lpstr>P05</vt:lpstr>
      <vt:lpstr>P12</vt:lpstr>
      <vt:lpstr>E37, E38 (&lt;2009)</vt:lpstr>
      <vt:lpstr>E38 (2009+), E67, E78</vt:lpstr>
      <vt:lpstr>Generic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2022-10-24T00:11:46Z</dcterms:created>
  <dcterms:modified xsi:type="dcterms:W3CDTF">2022-10-24T01:26:28Z</dcterms:modified>
</cp:coreProperties>
</file>